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55" windowWidth="24240" windowHeight="10860"/>
  </bookViews>
  <sheets>
    <sheet name="Управление" sheetId="4" r:id="rId1"/>
    <sheet name="Волгоград" sheetId="1" r:id="rId2"/>
    <sheet name="Саратов" sheetId="6" r:id="rId3"/>
    <sheet name="Астрахань" sheetId="7" r:id="rId4"/>
    <sheet name="РК" sheetId="8" r:id="rId5"/>
    <sheet name="Пенза" sheetId="9" r:id="rId6"/>
  </sheets>
  <definedNames>
    <definedName name="_Toc507508145" localSheetId="3">Астрахань!$A$1</definedName>
    <definedName name="_Toc507508145" localSheetId="1">Волгоград!$A$1</definedName>
    <definedName name="_Toc507508145" localSheetId="5">Пенза!$A$1</definedName>
    <definedName name="_Toc507508145" localSheetId="4">РК!$A$1</definedName>
    <definedName name="_Toc507508145" localSheetId="2">Саратов!$A$1</definedName>
    <definedName name="_Toc507508145" localSheetId="0">Управление!$A$1</definedName>
    <definedName name="_xlnm.Print_Area" localSheetId="1">Волгоград!$A$1:$E$275</definedName>
    <definedName name="_xlnm.Print_Area" localSheetId="4">РК!$A$1:$F$269</definedName>
  </definedNames>
  <calcPr calcId="145621"/>
</workbook>
</file>

<file path=xl/calcChain.xml><?xml version="1.0" encoding="utf-8"?>
<calcChain xmlns="http://schemas.openxmlformats.org/spreadsheetml/2006/main">
  <c r="C232" i="1" l="1"/>
  <c r="C185" i="6"/>
  <c r="E185" i="7" l="1"/>
  <c r="D185" i="7"/>
  <c r="C185" i="7"/>
  <c r="E80" i="8" l="1"/>
  <c r="D80" i="8"/>
  <c r="C80" i="8"/>
  <c r="C79" i="8" s="1"/>
  <c r="E79" i="8"/>
  <c r="D79" i="8"/>
  <c r="E80" i="6"/>
  <c r="E79" i="6" s="1"/>
  <c r="D80" i="6"/>
  <c r="D79" i="6" s="1"/>
  <c r="C80" i="6"/>
  <c r="C79" i="6"/>
  <c r="E156" i="1"/>
  <c r="D152" i="1"/>
  <c r="D149" i="1"/>
  <c r="D147" i="1"/>
  <c r="D143" i="1"/>
  <c r="D144" i="1"/>
  <c r="E144" i="1"/>
  <c r="D139" i="1"/>
  <c r="E139" i="1"/>
  <c r="D127" i="1"/>
  <c r="E127" i="1"/>
  <c r="D126" i="1"/>
  <c r="E126" i="1"/>
  <c r="E111" i="1"/>
  <c r="E112" i="1"/>
  <c r="D111" i="1"/>
  <c r="D112" i="1"/>
  <c r="E90" i="1"/>
  <c r="D90" i="1"/>
  <c r="D92" i="1"/>
  <c r="E92" i="1"/>
  <c r="D93" i="1"/>
  <c r="E89" i="1"/>
  <c r="E95" i="1"/>
  <c r="C95" i="1"/>
  <c r="C94" i="1"/>
  <c r="E94" i="1"/>
  <c r="D89" i="1"/>
  <c r="D87" i="1"/>
  <c r="E87" i="1"/>
  <c r="D86" i="1"/>
  <c r="E86" i="1"/>
  <c r="D82" i="1"/>
  <c r="E82" i="1"/>
  <c r="E80" i="1" s="1"/>
  <c r="E79" i="1" s="1"/>
  <c r="D75" i="1"/>
  <c r="E75" i="1"/>
  <c r="D76" i="1"/>
  <c r="E76" i="1"/>
  <c r="E29" i="1"/>
  <c r="D29" i="1"/>
  <c r="E32" i="1"/>
  <c r="D32" i="1"/>
  <c r="E34" i="1"/>
  <c r="D34" i="1"/>
  <c r="D33" i="1"/>
  <c r="E33" i="1"/>
  <c r="E31" i="1"/>
  <c r="D31" i="1"/>
  <c r="D27" i="1"/>
  <c r="E27" i="1"/>
  <c r="D28" i="1"/>
  <c r="E28" i="1"/>
  <c r="D26" i="1"/>
  <c r="E26" i="1"/>
  <c r="E16" i="1"/>
  <c r="D16" i="1"/>
  <c r="D17" i="1" l="1"/>
  <c r="E17" i="1"/>
  <c r="D11" i="1"/>
  <c r="E11" i="1"/>
  <c r="D158" i="6" l="1"/>
  <c r="D159" i="6"/>
  <c r="E158" i="6"/>
  <c r="E159" i="6"/>
  <c r="E157" i="6"/>
  <c r="D157" i="6"/>
  <c r="D156" i="6"/>
  <c r="E156" i="6"/>
  <c r="E154" i="6"/>
  <c r="D154" i="6"/>
  <c r="D131" i="6"/>
  <c r="E127" i="6"/>
  <c r="D116" i="6"/>
  <c r="E115" i="6"/>
  <c r="D115" i="6"/>
  <c r="E112" i="6"/>
  <c r="D90" i="6"/>
  <c r="E90" i="6"/>
  <c r="D89" i="6"/>
  <c r="E89" i="6"/>
  <c r="D87" i="6"/>
  <c r="E87" i="6"/>
  <c r="D86" i="6"/>
  <c r="E86" i="6"/>
  <c r="D76" i="6"/>
  <c r="D75" i="6"/>
  <c r="E75" i="6"/>
  <c r="E76" i="6"/>
  <c r="E27" i="6"/>
  <c r="D29" i="6" l="1"/>
  <c r="E34" i="6"/>
  <c r="D33" i="6"/>
  <c r="E33" i="6"/>
  <c r="D31" i="6"/>
  <c r="E31" i="6"/>
  <c r="E29" i="6"/>
  <c r="E28" i="6"/>
  <c r="D28" i="6"/>
  <c r="D17" i="6"/>
  <c r="E17" i="6"/>
  <c r="D16" i="6"/>
  <c r="E16" i="6"/>
  <c r="D13" i="6"/>
  <c r="E13" i="6"/>
  <c r="D11" i="6"/>
  <c r="E11" i="6"/>
  <c r="D157" i="7"/>
  <c r="C156" i="7"/>
  <c r="D156" i="7"/>
  <c r="E156" i="7"/>
  <c r="E154" i="7"/>
  <c r="E149" i="7" l="1"/>
  <c r="D115" i="7"/>
  <c r="E114" i="7"/>
  <c r="D111" i="7"/>
  <c r="E111" i="7"/>
  <c r="D90" i="7"/>
  <c r="D106" i="7"/>
  <c r="D101" i="7"/>
  <c r="D100" i="7"/>
  <c r="D89" i="7"/>
  <c r="D87" i="7"/>
  <c r="D86" i="7"/>
  <c r="E86" i="7"/>
  <c r="E75" i="7"/>
  <c r="D57" i="7"/>
  <c r="C28" i="7"/>
  <c r="C27" i="7"/>
  <c r="D31" i="7"/>
  <c r="E31" i="7"/>
  <c r="D29" i="7"/>
  <c r="C29" i="7"/>
  <c r="D26" i="7"/>
  <c r="E26" i="7"/>
  <c r="C17" i="7"/>
  <c r="D17" i="7"/>
  <c r="C16" i="7"/>
  <c r="D16" i="7"/>
  <c r="C11" i="7"/>
  <c r="D11" i="7"/>
  <c r="E11" i="7"/>
  <c r="D29" i="8"/>
  <c r="C29" i="8"/>
  <c r="D28" i="8"/>
  <c r="C28" i="8"/>
  <c r="C26" i="8"/>
  <c r="D26" i="8"/>
  <c r="D12" i="8"/>
  <c r="D11" i="8"/>
  <c r="E134" i="9" l="1"/>
  <c r="D132" i="9"/>
  <c r="E126" i="9"/>
  <c r="D126" i="9"/>
  <c r="D111" i="9"/>
  <c r="E111" i="9"/>
  <c r="E90" i="9"/>
  <c r="E89" i="9"/>
  <c r="D89" i="9"/>
  <c r="E87" i="9"/>
  <c r="E86" i="9"/>
  <c r="D86" i="9"/>
  <c r="E27" i="9"/>
  <c r="D27" i="9"/>
  <c r="E29" i="9"/>
  <c r="E28" i="9"/>
  <c r="E26" i="9"/>
  <c r="D26" i="9"/>
  <c r="C16" i="9"/>
  <c r="C17" i="9"/>
  <c r="E17" i="9"/>
  <c r="D16" i="9"/>
  <c r="E16" i="9"/>
  <c r="D11" i="9"/>
  <c r="E11" i="9"/>
  <c r="D10" i="9"/>
  <c r="E10" i="9"/>
  <c r="C82" i="1" l="1"/>
  <c r="E93" i="1" l="1"/>
  <c r="E98" i="1"/>
  <c r="D101" i="1" l="1"/>
  <c r="E101" i="1"/>
  <c r="E99" i="1"/>
  <c r="E102" i="1"/>
  <c r="E13" i="1" l="1"/>
  <c r="D98" i="6" l="1"/>
  <c r="E98" i="6"/>
  <c r="D108" i="6"/>
  <c r="D92" i="6"/>
  <c r="E92" i="6"/>
  <c r="E93" i="6"/>
  <c r="D93" i="6"/>
  <c r="D110" i="6"/>
  <c r="D249" i="4"/>
  <c r="C249" i="4"/>
  <c r="D116" i="7" l="1"/>
  <c r="C116" i="7"/>
  <c r="D32" i="7" l="1"/>
  <c r="C32" i="7"/>
  <c r="D34" i="7"/>
  <c r="C34" i="7"/>
  <c r="D90" i="8" l="1"/>
  <c r="C90" i="8"/>
  <c r="D109" i="8"/>
  <c r="C109" i="8"/>
  <c r="D108" i="8"/>
  <c r="C108" i="8"/>
  <c r="D92" i="8"/>
  <c r="C92" i="8"/>
  <c r="D91" i="8"/>
  <c r="C91" i="8"/>
  <c r="D89" i="8"/>
  <c r="C89" i="8"/>
  <c r="D86" i="8"/>
  <c r="C86" i="8"/>
  <c r="E232" i="9"/>
  <c r="D232" i="9"/>
  <c r="D32" i="9" l="1"/>
  <c r="D17" i="9"/>
  <c r="C10" i="7"/>
  <c r="E13" i="9"/>
  <c r="D13" i="9"/>
  <c r="C13" i="9"/>
  <c r="D12" i="9" l="1"/>
  <c r="E12" i="9"/>
  <c r="E12" i="6"/>
  <c r="D112" i="4" l="1"/>
  <c r="E112" i="4"/>
  <c r="E111" i="4"/>
  <c r="D111" i="4"/>
  <c r="D166" i="1" l="1"/>
  <c r="E167" i="1"/>
  <c r="E166" i="1"/>
  <c r="D167" i="1"/>
  <c r="E166" i="6"/>
  <c r="D166" i="6"/>
  <c r="D104" i="1" l="1"/>
  <c r="E109" i="1"/>
  <c r="E105" i="1"/>
  <c r="E101" i="6" l="1"/>
  <c r="G86" i="6"/>
  <c r="D93" i="7"/>
  <c r="C93" i="7"/>
  <c r="D91" i="7"/>
  <c r="C91" i="7"/>
  <c r="H86" i="7"/>
  <c r="G86" i="7"/>
  <c r="E12" i="7"/>
  <c r="D12" i="7"/>
  <c r="C10" i="9" l="1"/>
  <c r="C27" i="4" l="1"/>
  <c r="D26" i="4"/>
  <c r="E26" i="4"/>
  <c r="C26" i="4"/>
  <c r="E31" i="4"/>
  <c r="D28" i="4"/>
  <c r="H86" i="6" l="1"/>
  <c r="D108" i="4" l="1"/>
  <c r="H86" i="1"/>
  <c r="E156" i="4"/>
  <c r="D232" i="6"/>
  <c r="D219" i="6" s="1"/>
  <c r="E232" i="6"/>
  <c r="E219" i="6" s="1"/>
  <c r="C232" i="6"/>
  <c r="C219" i="6" s="1"/>
  <c r="E219" i="7"/>
  <c r="D219" i="1"/>
  <c r="E232" i="1"/>
  <c r="E219" i="1" s="1"/>
  <c r="E238" i="1"/>
  <c r="D249" i="1"/>
  <c r="C249" i="1"/>
  <c r="D204" i="6"/>
  <c r="C204" i="6"/>
  <c r="C210" i="4"/>
  <c r="E209" i="4"/>
  <c r="D205" i="9"/>
  <c r="D198" i="9" s="1"/>
  <c r="D185" i="9" s="1"/>
  <c r="C205" i="9"/>
  <c r="C198" i="9" s="1"/>
  <c r="C185" i="9" s="1"/>
  <c r="E204" i="9"/>
  <c r="C204" i="9"/>
  <c r="D194" i="4"/>
  <c r="C194" i="4"/>
  <c r="C219" i="1"/>
  <c r="E198" i="1"/>
  <c r="E185" i="1" s="1"/>
  <c r="D198" i="1"/>
  <c r="D185" i="1" s="1"/>
  <c r="C198" i="1"/>
  <c r="C185" i="1" s="1"/>
  <c r="E198" i="6"/>
  <c r="E185" i="6" s="1"/>
  <c r="D198" i="6"/>
  <c r="D185" i="6" s="1"/>
  <c r="C198" i="6"/>
  <c r="C186" i="4"/>
  <c r="C232" i="9"/>
  <c r="C219" i="9" s="1"/>
  <c r="E219" i="9"/>
  <c r="D219" i="9"/>
  <c r="E198" i="9"/>
  <c r="E185" i="9" s="1"/>
  <c r="D219" i="8"/>
  <c r="E219" i="8"/>
  <c r="C219" i="8"/>
  <c r="D198" i="8"/>
  <c r="D185" i="8" s="1"/>
  <c r="E198" i="8"/>
  <c r="C198" i="8"/>
  <c r="C185" i="8" s="1"/>
  <c r="E185" i="8"/>
  <c r="D198" i="7"/>
  <c r="E198" i="7"/>
  <c r="C198" i="7"/>
  <c r="E232" i="7"/>
  <c r="D232" i="7"/>
  <c r="D219" i="7" s="1"/>
  <c r="C232" i="7"/>
  <c r="C219" i="7" s="1"/>
  <c r="D223" i="4"/>
  <c r="E267" i="4"/>
  <c r="D267" i="4"/>
  <c r="C267" i="4"/>
  <c r="E266" i="4"/>
  <c r="D266" i="4"/>
  <c r="C266" i="4"/>
  <c r="E265" i="4"/>
  <c r="D265" i="4"/>
  <c r="C265" i="4"/>
  <c r="E264" i="4"/>
  <c r="D264" i="4"/>
  <c r="C264" i="4"/>
  <c r="E263" i="4"/>
  <c r="D263" i="4"/>
  <c r="C263" i="4"/>
  <c r="E262" i="4"/>
  <c r="D262" i="4"/>
  <c r="C262" i="4"/>
  <c r="E261" i="4"/>
  <c r="D261" i="4"/>
  <c r="C261" i="4"/>
  <c r="E260" i="4"/>
  <c r="D260" i="4"/>
  <c r="C260" i="4"/>
  <c r="E259" i="4"/>
  <c r="D259" i="4"/>
  <c r="C259" i="4"/>
  <c r="E258" i="4"/>
  <c r="D258" i="4"/>
  <c r="C258" i="4"/>
  <c r="E257" i="4"/>
  <c r="D257" i="4"/>
  <c r="C257" i="4"/>
  <c r="E256" i="4"/>
  <c r="D256" i="4"/>
  <c r="C256" i="4"/>
  <c r="E255" i="4"/>
  <c r="D255" i="4"/>
  <c r="C255" i="4"/>
  <c r="E254" i="4"/>
  <c r="D254" i="4"/>
  <c r="C254" i="4"/>
  <c r="E253" i="4"/>
  <c r="D253" i="4"/>
  <c r="C253" i="4"/>
  <c r="E252" i="4"/>
  <c r="D252" i="4"/>
  <c r="C252" i="4"/>
  <c r="E251" i="4"/>
  <c r="D251" i="4"/>
  <c r="C251" i="4"/>
  <c r="E250" i="4"/>
  <c r="D250" i="4"/>
  <c r="C250" i="4"/>
  <c r="E249" i="4"/>
  <c r="E248" i="4"/>
  <c r="D248" i="4"/>
  <c r="C248" i="4"/>
  <c r="E247" i="4"/>
  <c r="D247" i="4"/>
  <c r="C247" i="4"/>
  <c r="E246" i="4"/>
  <c r="D246" i="4"/>
  <c r="C246" i="4"/>
  <c r="E245" i="4"/>
  <c r="D245" i="4"/>
  <c r="C245" i="4"/>
  <c r="E244" i="4"/>
  <c r="D244" i="4"/>
  <c r="C244" i="4"/>
  <c r="E243" i="4"/>
  <c r="D243" i="4"/>
  <c r="C243" i="4"/>
  <c r="E242" i="4"/>
  <c r="D242" i="4"/>
  <c r="C242" i="4"/>
  <c r="E241" i="4"/>
  <c r="D241" i="4"/>
  <c r="C241" i="4"/>
  <c r="E240" i="4"/>
  <c r="D240" i="4"/>
  <c r="C240" i="4"/>
  <c r="E239" i="4"/>
  <c r="D239" i="4"/>
  <c r="C239" i="4"/>
  <c r="E238" i="4"/>
  <c r="D238" i="4"/>
  <c r="C238" i="4"/>
  <c r="E237" i="4"/>
  <c r="D237" i="4"/>
  <c r="C237" i="4"/>
  <c r="E236" i="4"/>
  <c r="D236" i="4"/>
  <c r="C236" i="4"/>
  <c r="E235" i="4"/>
  <c r="D235" i="4"/>
  <c r="C235" i="4"/>
  <c r="E234" i="4"/>
  <c r="D234" i="4"/>
  <c r="C234" i="4"/>
  <c r="E233" i="4"/>
  <c r="D233" i="4"/>
  <c r="C233" i="4"/>
  <c r="E231" i="4"/>
  <c r="D231" i="4"/>
  <c r="C231" i="4"/>
  <c r="E230" i="4"/>
  <c r="D230" i="4"/>
  <c r="C230" i="4"/>
  <c r="E229" i="4"/>
  <c r="D229" i="4"/>
  <c r="C229" i="4"/>
  <c r="E228" i="4"/>
  <c r="D228" i="4"/>
  <c r="C228" i="4"/>
  <c r="E227" i="4"/>
  <c r="D227" i="4"/>
  <c r="C227" i="4"/>
  <c r="E226" i="4"/>
  <c r="D226" i="4"/>
  <c r="C226" i="4"/>
  <c r="E225" i="4"/>
  <c r="D225" i="4"/>
  <c r="C225" i="4"/>
  <c r="E224" i="4"/>
  <c r="D224" i="4"/>
  <c r="C224" i="4"/>
  <c r="E223" i="4"/>
  <c r="C223" i="4"/>
  <c r="E222" i="4"/>
  <c r="D222" i="4"/>
  <c r="C222" i="4"/>
  <c r="E221" i="4"/>
  <c r="D221" i="4"/>
  <c r="C221" i="4"/>
  <c r="E220" i="4"/>
  <c r="D220" i="4"/>
  <c r="C220" i="4"/>
  <c r="E218" i="4"/>
  <c r="D218" i="4"/>
  <c r="C218" i="4"/>
  <c r="E217" i="4"/>
  <c r="D217" i="4"/>
  <c r="C217" i="4"/>
  <c r="E216" i="4"/>
  <c r="D216" i="4"/>
  <c r="C216" i="4"/>
  <c r="E215" i="4"/>
  <c r="D215" i="4"/>
  <c r="C215" i="4"/>
  <c r="E214" i="4"/>
  <c r="D214" i="4"/>
  <c r="C214" i="4"/>
  <c r="E213" i="4"/>
  <c r="D213" i="4"/>
  <c r="C213" i="4"/>
  <c r="E212" i="4"/>
  <c r="D212" i="4"/>
  <c r="C212" i="4"/>
  <c r="E211" i="4"/>
  <c r="D211" i="4"/>
  <c r="C211" i="4"/>
  <c r="E210" i="4"/>
  <c r="D210" i="4"/>
  <c r="D209" i="4"/>
  <c r="C209" i="4"/>
  <c r="E208" i="4"/>
  <c r="D208" i="4"/>
  <c r="C208" i="4"/>
  <c r="E207" i="4"/>
  <c r="D207" i="4"/>
  <c r="C207" i="4"/>
  <c r="E206" i="4"/>
  <c r="D206" i="4"/>
  <c r="C206" i="4"/>
  <c r="E205" i="4"/>
  <c r="D205" i="4"/>
  <c r="C205" i="4"/>
  <c r="E204" i="4"/>
  <c r="D204" i="4"/>
  <c r="C204" i="4"/>
  <c r="E203" i="4"/>
  <c r="D203" i="4"/>
  <c r="C203" i="4"/>
  <c r="E202" i="4"/>
  <c r="D202" i="4"/>
  <c r="C202" i="4"/>
  <c r="E201" i="4"/>
  <c r="D201" i="4"/>
  <c r="C201" i="4"/>
  <c r="E200" i="4"/>
  <c r="D200" i="4"/>
  <c r="C200" i="4"/>
  <c r="E199" i="4"/>
  <c r="D199" i="4"/>
  <c r="C199" i="4"/>
  <c r="E197" i="4"/>
  <c r="D197" i="4"/>
  <c r="C197" i="4"/>
  <c r="E196" i="4"/>
  <c r="D196" i="4"/>
  <c r="C196" i="4"/>
  <c r="E195" i="4"/>
  <c r="D195" i="4"/>
  <c r="C195" i="4"/>
  <c r="E194" i="4"/>
  <c r="E193" i="4"/>
  <c r="D193" i="4"/>
  <c r="C193" i="4"/>
  <c r="E192" i="4"/>
  <c r="D192" i="4"/>
  <c r="C192" i="4"/>
  <c r="E191" i="4"/>
  <c r="D191" i="4"/>
  <c r="C191" i="4"/>
  <c r="E190" i="4"/>
  <c r="D190" i="4"/>
  <c r="C190" i="4"/>
  <c r="E189" i="4"/>
  <c r="D189" i="4"/>
  <c r="C189" i="4"/>
  <c r="E188" i="4"/>
  <c r="D188" i="4"/>
  <c r="C188" i="4"/>
  <c r="E187" i="4"/>
  <c r="D187" i="4"/>
  <c r="C187" i="4"/>
  <c r="E186" i="4"/>
  <c r="D186" i="4"/>
  <c r="E184" i="4"/>
  <c r="D184" i="4"/>
  <c r="C184" i="4"/>
  <c r="E183" i="4"/>
  <c r="D183" i="4"/>
  <c r="C183" i="4"/>
  <c r="E182" i="4"/>
  <c r="D182" i="4"/>
  <c r="C182" i="4"/>
  <c r="E181" i="4"/>
  <c r="D181" i="4"/>
  <c r="C181" i="4"/>
  <c r="E180" i="4"/>
  <c r="D180" i="4"/>
  <c r="C180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E173" i="4"/>
  <c r="D173" i="4"/>
  <c r="C173" i="4"/>
  <c r="E172" i="4"/>
  <c r="D172" i="4"/>
  <c r="C172" i="4"/>
  <c r="E171" i="4"/>
  <c r="D171" i="4"/>
  <c r="C171" i="4"/>
  <c r="E170" i="4"/>
  <c r="D170" i="4"/>
  <c r="C170" i="4"/>
  <c r="E169" i="4"/>
  <c r="D169" i="4"/>
  <c r="C169" i="4"/>
  <c r="E168" i="4"/>
  <c r="D168" i="4"/>
  <c r="C168" i="4"/>
  <c r="E167" i="4"/>
  <c r="D167" i="4"/>
  <c r="C167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D160" i="4"/>
  <c r="C160" i="4"/>
  <c r="E159" i="4"/>
  <c r="D159" i="4"/>
  <c r="C159" i="4"/>
  <c r="E158" i="4"/>
  <c r="D158" i="4"/>
  <c r="C158" i="4"/>
  <c r="E157" i="4"/>
  <c r="D157" i="4"/>
  <c r="C157" i="4"/>
  <c r="D156" i="4"/>
  <c r="C156" i="4"/>
  <c r="E154" i="4"/>
  <c r="D154" i="4"/>
  <c r="C154" i="4"/>
  <c r="E153" i="4"/>
  <c r="D153" i="4"/>
  <c r="C153" i="4"/>
  <c r="E152" i="4"/>
  <c r="D152" i="4"/>
  <c r="C152" i="4"/>
  <c r="E151" i="4"/>
  <c r="D151" i="4"/>
  <c r="C151" i="4"/>
  <c r="E149" i="4"/>
  <c r="D149" i="4"/>
  <c r="C149" i="4"/>
  <c r="E148" i="4"/>
  <c r="D148" i="4"/>
  <c r="C148" i="4"/>
  <c r="E147" i="4"/>
  <c r="D147" i="4"/>
  <c r="C147" i="4"/>
  <c r="E146" i="4"/>
  <c r="D146" i="4"/>
  <c r="C146" i="4"/>
  <c r="E144" i="4"/>
  <c r="D144" i="4"/>
  <c r="C144" i="4"/>
  <c r="E143" i="4"/>
  <c r="D143" i="4"/>
  <c r="C143" i="4"/>
  <c r="E141" i="4"/>
  <c r="D141" i="4"/>
  <c r="C141" i="4"/>
  <c r="E140" i="4"/>
  <c r="D140" i="4"/>
  <c r="C140" i="4"/>
  <c r="E139" i="4"/>
  <c r="D139" i="4"/>
  <c r="C139" i="4"/>
  <c r="E138" i="4"/>
  <c r="D138" i="4"/>
  <c r="C138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26" i="4"/>
  <c r="D126" i="4"/>
  <c r="C126" i="4"/>
  <c r="E124" i="4"/>
  <c r="D124" i="4"/>
  <c r="C124" i="4"/>
  <c r="E123" i="4"/>
  <c r="D123" i="4"/>
  <c r="C123" i="4"/>
  <c r="E122" i="4"/>
  <c r="D122" i="4"/>
  <c r="C122" i="4"/>
  <c r="E121" i="4"/>
  <c r="D121" i="4"/>
  <c r="C121" i="4"/>
  <c r="E120" i="4"/>
  <c r="D120" i="4"/>
  <c r="C120" i="4"/>
  <c r="E119" i="4"/>
  <c r="D119" i="4"/>
  <c r="C119" i="4"/>
  <c r="E118" i="4"/>
  <c r="D118" i="4"/>
  <c r="C118" i="4"/>
  <c r="E117" i="4"/>
  <c r="D117" i="4"/>
  <c r="C117" i="4"/>
  <c r="E116" i="4"/>
  <c r="D116" i="4"/>
  <c r="C116" i="4"/>
  <c r="E115" i="4"/>
  <c r="E113" i="4"/>
  <c r="D113" i="4"/>
  <c r="C113" i="4"/>
  <c r="C112" i="4"/>
  <c r="C111" i="4"/>
  <c r="E110" i="4"/>
  <c r="D110" i="4"/>
  <c r="C110" i="4"/>
  <c r="E109" i="4"/>
  <c r="D109" i="4"/>
  <c r="C109" i="4"/>
  <c r="E108" i="4"/>
  <c r="C108" i="4"/>
  <c r="E107" i="4"/>
  <c r="D107" i="4"/>
  <c r="C107" i="4"/>
  <c r="E106" i="4"/>
  <c r="D106" i="4"/>
  <c r="C106" i="4"/>
  <c r="E105" i="4"/>
  <c r="D105" i="4"/>
  <c r="C105" i="4"/>
  <c r="E104" i="4"/>
  <c r="D104" i="4"/>
  <c r="C104" i="4"/>
  <c r="E103" i="4"/>
  <c r="D103" i="4"/>
  <c r="C103" i="4"/>
  <c r="E102" i="4"/>
  <c r="D102" i="4"/>
  <c r="C102" i="4"/>
  <c r="E101" i="4"/>
  <c r="D101" i="4"/>
  <c r="C101" i="4"/>
  <c r="E100" i="4"/>
  <c r="D100" i="4"/>
  <c r="C100" i="4"/>
  <c r="E99" i="4"/>
  <c r="D99" i="4"/>
  <c r="C99" i="4"/>
  <c r="E98" i="4"/>
  <c r="D98" i="4"/>
  <c r="C98" i="4"/>
  <c r="E97" i="4"/>
  <c r="D97" i="4"/>
  <c r="C97" i="4"/>
  <c r="E96" i="4"/>
  <c r="D96" i="4"/>
  <c r="C96" i="4"/>
  <c r="E95" i="4"/>
  <c r="D95" i="4"/>
  <c r="C95" i="4"/>
  <c r="E94" i="4"/>
  <c r="D94" i="4"/>
  <c r="C94" i="4"/>
  <c r="E93" i="4"/>
  <c r="D93" i="4"/>
  <c r="C93" i="4"/>
  <c r="E92" i="4"/>
  <c r="D92" i="4"/>
  <c r="C92" i="4"/>
  <c r="E91" i="4"/>
  <c r="D91" i="4"/>
  <c r="C91" i="4"/>
  <c r="E90" i="4"/>
  <c r="D90" i="4"/>
  <c r="C90" i="4"/>
  <c r="E89" i="4"/>
  <c r="D89" i="4"/>
  <c r="C89" i="4"/>
  <c r="E88" i="4"/>
  <c r="D88" i="4"/>
  <c r="C88" i="4"/>
  <c r="E87" i="4"/>
  <c r="D87" i="4"/>
  <c r="C87" i="4"/>
  <c r="E86" i="4"/>
  <c r="D86" i="4"/>
  <c r="E84" i="4"/>
  <c r="D84" i="4"/>
  <c r="C84" i="4"/>
  <c r="E83" i="4"/>
  <c r="D83" i="4"/>
  <c r="C83" i="4"/>
  <c r="E82" i="4"/>
  <c r="D82" i="4"/>
  <c r="E81" i="4"/>
  <c r="D81" i="4"/>
  <c r="C81" i="4"/>
  <c r="E80" i="4"/>
  <c r="E79" i="4"/>
  <c r="E78" i="4"/>
  <c r="D78" i="4"/>
  <c r="C78" i="4"/>
  <c r="E77" i="4"/>
  <c r="D77" i="4"/>
  <c r="C77" i="4"/>
  <c r="E76" i="4"/>
  <c r="D76" i="4"/>
  <c r="E75" i="4"/>
  <c r="D75" i="4"/>
  <c r="E74" i="4"/>
  <c r="D74" i="4"/>
  <c r="C74" i="4"/>
  <c r="E73" i="4"/>
  <c r="D73" i="4"/>
  <c r="C73" i="4"/>
  <c r="E72" i="4"/>
  <c r="D72" i="4"/>
  <c r="C72" i="4"/>
  <c r="E71" i="4"/>
  <c r="D71" i="4"/>
  <c r="C71" i="4"/>
  <c r="E70" i="4"/>
  <c r="D70" i="4"/>
  <c r="C70" i="4"/>
  <c r="E69" i="4"/>
  <c r="D69" i="4"/>
  <c r="C69" i="4"/>
  <c r="E68" i="4"/>
  <c r="D68" i="4"/>
  <c r="C68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D34" i="4"/>
  <c r="E33" i="4"/>
  <c r="D33" i="4"/>
  <c r="E32" i="4"/>
  <c r="D32" i="4"/>
  <c r="E29" i="4"/>
  <c r="D29" i="4"/>
  <c r="E28" i="4"/>
  <c r="E27" i="4"/>
  <c r="D27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1" i="4"/>
  <c r="C42" i="4"/>
  <c r="C41" i="4"/>
  <c r="C40" i="4"/>
  <c r="C39" i="4"/>
  <c r="C38" i="4"/>
  <c r="C37" i="4"/>
  <c r="C36" i="4"/>
  <c r="C35" i="4"/>
  <c r="C34" i="4"/>
  <c r="C33" i="4"/>
  <c r="C32" i="4"/>
  <c r="C29" i="4"/>
  <c r="C28" i="4"/>
  <c r="C24" i="4"/>
  <c r="C23" i="4"/>
  <c r="C21" i="4"/>
  <c r="C20" i="4"/>
  <c r="C19" i="4"/>
  <c r="C18" i="4"/>
  <c r="C17" i="4"/>
  <c r="C16" i="4"/>
  <c r="C15" i="4"/>
  <c r="C14" i="4"/>
  <c r="C13" i="4"/>
  <c r="D20" i="1"/>
  <c r="C20" i="1"/>
  <c r="E198" i="4" l="1"/>
  <c r="D232" i="4"/>
  <c r="E232" i="4"/>
  <c r="E219" i="4"/>
  <c r="C232" i="4"/>
  <c r="H86" i="4"/>
  <c r="H85" i="4"/>
  <c r="D219" i="4"/>
  <c r="E185" i="4"/>
  <c r="C198" i="4"/>
  <c r="D198" i="4"/>
  <c r="D185" i="4"/>
  <c r="C219" i="4"/>
  <c r="C185" i="4"/>
  <c r="G75" i="9"/>
  <c r="D115" i="4"/>
  <c r="C115" i="4"/>
  <c r="C31" i="4"/>
  <c r="H11" i="4" s="1"/>
  <c r="D11" i="4"/>
  <c r="G11" i="8"/>
  <c r="D155" i="9"/>
  <c r="C155" i="9"/>
  <c r="H142" i="9"/>
  <c r="G142" i="9"/>
  <c r="H125" i="9"/>
  <c r="G125" i="9"/>
  <c r="H85" i="9"/>
  <c r="G85" i="9"/>
  <c r="H30" i="9"/>
  <c r="E30" i="9"/>
  <c r="D30" i="9"/>
  <c r="C30" i="9"/>
  <c r="H25" i="9"/>
  <c r="E25" i="9"/>
  <c r="D25" i="9"/>
  <c r="C25" i="9"/>
  <c r="G25" i="9" s="1"/>
  <c r="C22" i="9"/>
  <c r="C12" i="9"/>
  <c r="H11" i="9"/>
  <c r="C11" i="9"/>
  <c r="G11" i="9" s="1"/>
  <c r="G10" i="9"/>
  <c r="E155" i="8"/>
  <c r="D155" i="8"/>
  <c r="C155" i="8"/>
  <c r="H142" i="8"/>
  <c r="G142" i="8"/>
  <c r="H125" i="8"/>
  <c r="G125" i="8"/>
  <c r="H85" i="8"/>
  <c r="G85" i="8"/>
  <c r="H30" i="8"/>
  <c r="E30" i="8"/>
  <c r="C30" i="8"/>
  <c r="G30" i="8" s="1"/>
  <c r="H25" i="8"/>
  <c r="E25" i="8"/>
  <c r="G25" i="8"/>
  <c r="C22" i="8"/>
  <c r="C12" i="8"/>
  <c r="H11" i="8"/>
  <c r="C22" i="4" l="1"/>
  <c r="C10" i="8"/>
  <c r="G10" i="8" s="1"/>
  <c r="D30" i="8"/>
  <c r="D31" i="4"/>
  <c r="H10" i="9"/>
  <c r="H10" i="8"/>
  <c r="G30" i="9"/>
  <c r="H85" i="6"/>
  <c r="D25" i="7"/>
  <c r="E150" i="6"/>
  <c r="D150" i="6"/>
  <c r="C150" i="6"/>
  <c r="D142" i="6"/>
  <c r="E142" i="6"/>
  <c r="C142" i="6"/>
  <c r="E125" i="6"/>
  <c r="D125" i="6"/>
  <c r="C114" i="6"/>
  <c r="D114" i="6"/>
  <c r="E155" i="7"/>
  <c r="C155" i="7"/>
  <c r="D155" i="7"/>
  <c r="H142" i="7"/>
  <c r="G142" i="7"/>
  <c r="H125" i="7"/>
  <c r="G125" i="7"/>
  <c r="H85" i="7"/>
  <c r="G85" i="7"/>
  <c r="E30" i="7"/>
  <c r="H30" i="7"/>
  <c r="D30" i="7"/>
  <c r="C30" i="7"/>
  <c r="G30" i="7" s="1"/>
  <c r="H11" i="7"/>
  <c r="H25" i="7"/>
  <c r="E25" i="7"/>
  <c r="C25" i="7"/>
  <c r="G25" i="7" s="1"/>
  <c r="C22" i="7"/>
  <c r="C12" i="7"/>
  <c r="G11" i="7"/>
  <c r="G10" i="7"/>
  <c r="E155" i="6"/>
  <c r="E155" i="4" s="1"/>
  <c r="D155" i="6"/>
  <c r="C155" i="6"/>
  <c r="D34" i="6"/>
  <c r="E30" i="6"/>
  <c r="D30" i="6"/>
  <c r="C30" i="6"/>
  <c r="E25" i="6"/>
  <c r="D25" i="6"/>
  <c r="C25" i="6"/>
  <c r="G25" i="6" s="1"/>
  <c r="C22" i="6"/>
  <c r="D12" i="6"/>
  <c r="C12" i="6"/>
  <c r="C11" i="6"/>
  <c r="H142" i="6"/>
  <c r="G125" i="6"/>
  <c r="H25" i="6"/>
  <c r="C155" i="4" l="1"/>
  <c r="D155" i="4"/>
  <c r="C10" i="6"/>
  <c r="G10" i="6" s="1"/>
  <c r="E114" i="6"/>
  <c r="C132" i="6"/>
  <c r="E132" i="6"/>
  <c r="D132" i="6"/>
  <c r="H10" i="7"/>
  <c r="H125" i="6"/>
  <c r="G142" i="6"/>
  <c r="H30" i="6"/>
  <c r="G85" i="6"/>
  <c r="G11" i="6"/>
  <c r="H11" i="6"/>
  <c r="D114" i="1"/>
  <c r="D114" i="4" s="1"/>
  <c r="C114" i="1"/>
  <c r="C114" i="4" s="1"/>
  <c r="H25" i="1"/>
  <c r="E114" i="1" l="1"/>
  <c r="E114" i="4" s="1"/>
  <c r="G30" i="6"/>
  <c r="H10" i="6"/>
  <c r="E150" i="1"/>
  <c r="E150" i="4" s="1"/>
  <c r="H142" i="1"/>
  <c r="E125" i="1"/>
  <c r="E125" i="4" s="1"/>
  <c r="D125" i="1"/>
  <c r="D125" i="4" s="1"/>
  <c r="G125" i="1"/>
  <c r="H85" i="1"/>
  <c r="D85" i="1"/>
  <c r="D85" i="4" s="1"/>
  <c r="C86" i="1"/>
  <c r="D80" i="1"/>
  <c r="E83" i="1"/>
  <c r="D83" i="1"/>
  <c r="C83" i="1"/>
  <c r="C82" i="4"/>
  <c r="C81" i="1"/>
  <c r="C76" i="4"/>
  <c r="C75" i="4"/>
  <c r="E30" i="1"/>
  <c r="E30" i="4" s="1"/>
  <c r="C30" i="1"/>
  <c r="D30" i="1"/>
  <c r="D30" i="4" s="1"/>
  <c r="E25" i="1"/>
  <c r="E25" i="4" s="1"/>
  <c r="D25" i="1"/>
  <c r="D25" i="4" s="1"/>
  <c r="C25" i="1"/>
  <c r="C25" i="4" s="1"/>
  <c r="E12" i="1"/>
  <c r="C11" i="1"/>
  <c r="C80" i="1" l="1"/>
  <c r="C80" i="4" s="1"/>
  <c r="C85" i="1"/>
  <c r="G86" i="1"/>
  <c r="C86" i="4"/>
  <c r="G86" i="4" s="1"/>
  <c r="D79" i="1"/>
  <c r="D79" i="4" s="1"/>
  <c r="D80" i="4"/>
  <c r="E10" i="1"/>
  <c r="E10" i="4" s="1"/>
  <c r="E12" i="4"/>
  <c r="G11" i="1"/>
  <c r="C11" i="4"/>
  <c r="G11" i="4" s="1"/>
  <c r="G30" i="1"/>
  <c r="C30" i="4"/>
  <c r="H10" i="4" s="1"/>
  <c r="D12" i="1"/>
  <c r="E137" i="1"/>
  <c r="E137" i="4" s="1"/>
  <c r="G25" i="1"/>
  <c r="H10" i="1"/>
  <c r="D150" i="1"/>
  <c r="H11" i="1"/>
  <c r="H30" i="1"/>
  <c r="E142" i="1"/>
  <c r="E142" i="4" s="1"/>
  <c r="C125" i="1"/>
  <c r="C125" i="4" s="1"/>
  <c r="D142" i="1"/>
  <c r="D142" i="4" s="1"/>
  <c r="D137" i="1"/>
  <c r="D132" i="1"/>
  <c r="D132" i="4" s="1"/>
  <c r="E132" i="1"/>
  <c r="E132" i="4" s="1"/>
  <c r="E85" i="1"/>
  <c r="E85" i="4" s="1"/>
  <c r="C22" i="1"/>
  <c r="C12" i="1"/>
  <c r="C12" i="4" s="1"/>
  <c r="C79" i="1" l="1"/>
  <c r="C79" i="4" s="1"/>
  <c r="C142" i="1"/>
  <c r="G142" i="1" s="1"/>
  <c r="C150" i="1"/>
  <c r="C150" i="4" s="1"/>
  <c r="D150" i="4"/>
  <c r="C137" i="1"/>
  <c r="C137" i="4" s="1"/>
  <c r="D137" i="4"/>
  <c r="G85" i="1"/>
  <c r="C85" i="4"/>
  <c r="G85" i="4" s="1"/>
  <c r="D10" i="1"/>
  <c r="D10" i="4" s="1"/>
  <c r="D12" i="4"/>
  <c r="C132" i="1"/>
  <c r="C142" i="4" l="1"/>
  <c r="H125" i="1"/>
  <c r="C132" i="4"/>
  <c r="C10" i="1"/>
  <c r="C10" i="4" s="1"/>
  <c r="G10" i="1" l="1"/>
  <c r="G10" i="4"/>
</calcChain>
</file>

<file path=xl/sharedStrings.xml><?xml version="1.0" encoding="utf-8"?>
<sst xmlns="http://schemas.openxmlformats.org/spreadsheetml/2006/main" count="3187" uniqueCount="513">
  <si>
    <t>Форма УТ-С</t>
  </si>
  <si>
    <t>Показатели деятельности по осуществлению государственного строительного надзора при строительстве (С), реконструкции (Р) объектов капитального строительства</t>
  </si>
  <si>
    <t>(наименование территориального органа Ростехнадзора)</t>
  </si>
  <si>
    <t>(3, 6, 9 месяцев и год)</t>
  </si>
  <si>
    <t>№ п/п</t>
  </si>
  <si>
    <t>Наименование отчетных показателей</t>
  </si>
  <si>
    <t xml:space="preserve">Государственный строительный надзор </t>
  </si>
  <si>
    <t xml:space="preserve">в том числе: </t>
  </si>
  <si>
    <t>С</t>
  </si>
  <si>
    <t>Р</t>
  </si>
  <si>
    <r>
      <t>1.</t>
    </r>
    <r>
      <rPr>
        <sz val="9"/>
        <color rgb="FF000000"/>
        <rFont val="Times New Roman"/>
        <family val="1"/>
        <charset val="204"/>
      </rPr>
      <t>        </t>
    </r>
  </si>
  <si>
    <t>Общее количество проверок, проведенных в отношении юридических лиц, индивидуальных предпринимателей, всего (сумма строк 1.1 и 1.2, а также сумма строк 2 и 3), (ед.), в том числе по основаниям:</t>
  </si>
  <si>
    <t>1.1.   </t>
  </si>
  <si>
    <t xml:space="preserve">       по программе проведения проверок;</t>
  </si>
  <si>
    <t>1.2.   </t>
  </si>
  <si>
    <r>
      <t xml:space="preserve">       </t>
    </r>
    <r>
      <rPr>
        <i/>
        <sz val="9"/>
        <color rgb="FF000000"/>
        <rFont val="Times New Roman"/>
        <family val="1"/>
        <charset val="204"/>
      </rPr>
      <t>по иным основаниям, предусмотренным законодательством Российской Федерации, (сумма строк 1.2.1-1.2.8, (ед.), в том числе:</t>
    </r>
  </si>
  <si>
    <t>1.2.1.          </t>
  </si>
  <si>
    <t xml:space="preserve">               получение извещения о начале строительства; </t>
  </si>
  <si>
    <t>1.2.2.          </t>
  </si>
  <si>
    <t xml:space="preserve">               получение извещения о сроках завершения работ подлежащих проверке; </t>
  </si>
  <si>
    <t>1.2.3.          </t>
  </si>
  <si>
    <t xml:space="preserve">               получение извещений об устранении нарушений;</t>
  </si>
  <si>
    <t>1.2.4.          </t>
  </si>
  <si>
    <t xml:space="preserve">               истечение срока исполнения ранее выданных предписаний об устранении выявленных нарушений обязательных требований;</t>
  </si>
  <si>
    <t>1.2.5.          </t>
  </si>
  <si>
    <t xml:space="preserve">               получение извещения об окончании строительства; </t>
  </si>
  <si>
    <t>1.2.6.          </t>
  </si>
  <si>
    <t xml:space="preserve">               получения обращений, заявлений, извещений, информации в соответствии с подпунктом "б" пункта 2 части 5 статьи 54 ГрК России;</t>
  </si>
  <si>
    <t>1.2.7.          </t>
  </si>
  <si>
    <t xml:space="preserve">               приказа (распоряжения) руководителя (заместителя руководителя) органа государственного строительного надзора в соответствии с подпунктом "в" пункта 3 части 5 статьи 54 ГрК России</t>
  </si>
  <si>
    <t>1.2.8.     </t>
  </si>
  <si>
    <t>1.2.9.</t>
  </si>
  <si>
    <t>Количество проверок в рамках прокурорского надзора, проведённых на объектах капитального строительства с привлечением инспекторского состава в качестве специалистов</t>
  </si>
  <si>
    <t>1.3.</t>
  </si>
  <si>
    <t xml:space="preserve">Количество проверок (из строки 1) к проведению которых привлекались эксперты и (или) экспертные организаций, из них (сумма строк 1.3.1-1.3.2), (ед.): </t>
  </si>
  <si>
    <t>1.3.1.</t>
  </si>
  <si>
    <t xml:space="preserve">               привлекались эксперты, аттестованные в установленном порядке, (ед.);  </t>
  </si>
  <si>
    <t>1.3.2.</t>
  </si>
  <si>
    <t xml:space="preserve">              привлекались экспертные организации, аккредитованные в установленном порядке (ед.).</t>
  </si>
  <si>
    <t>2.</t>
  </si>
  <si>
    <t>Общее количество проверок, по результатам проведения которых не выявлено нарушений (сумма строк 2.1 и 2.2), (ед.), в том числе:</t>
  </si>
  <si>
    <t>2.1.</t>
  </si>
  <si>
    <t xml:space="preserve">        по программе проведения проверок; </t>
  </si>
  <si>
    <t>2.2.</t>
  </si>
  <si>
    <t xml:space="preserve">        иным основаниям, предусмотренным законодательством Российской Федерации, (ед.), в том числе:</t>
  </si>
  <si>
    <t>2.2.1.</t>
  </si>
  <si>
    <t xml:space="preserve">              получения извещения об устранении нарушений, либо истечения срока исполнения выданного органом государственного строительного надзора предписания об устранении выявленного нарушения обязательных требований;</t>
  </si>
  <si>
    <t>2.2.2.</t>
  </si>
  <si>
    <t xml:space="preserve">              получения извещения об окончании строительства.</t>
  </si>
  <si>
    <t>3.</t>
  </si>
  <si>
    <t>Общее количество проверок, по результатам проведения которых выявлены нарушения (сумма строк 3.1 и 3.2), (ед.), в том числе:</t>
  </si>
  <si>
    <t>3.1.</t>
  </si>
  <si>
    <t xml:space="preserve">       по программе проведения проверок, (ед.); </t>
  </si>
  <si>
    <t>3.2.</t>
  </si>
  <si>
    <t xml:space="preserve">       по иным основаниям, предусмотренным законодательством Российской Федерации, (ед.), в том числе:</t>
  </si>
  <si>
    <t>3.2.1.</t>
  </si>
  <si>
    <t xml:space="preserve">               получения извещения об устранении нарушений, либо истечения срока исполнения выданного органом государственного строительного надзора предписания об устранении выявленного нарушения обязательных требований; (ед.);</t>
  </si>
  <si>
    <t>3.2.2.</t>
  </si>
  <si>
    <t xml:space="preserve">               получения извещения об окончании строительства. (ед.),</t>
  </si>
  <si>
    <t>3.3.</t>
  </si>
  <si>
    <t xml:space="preserve">       количество проверок (из строки 3) по результатам проведения которых, материалы проверки направлены в другие органы государственной власти по компетенции, в том числе, для привлечения граждан, должностных лиц, индивидуальных предпринимателей и юридических лиц к ответственности, предусмотренной действующим законодательством (сумма строк 3.3.1-3.3.5) (ед.), в том числе:</t>
  </si>
  <si>
    <t>3.3.1.</t>
  </si>
  <si>
    <t xml:space="preserve">                в органы Росприроднадзора;</t>
  </si>
  <si>
    <t>3.3.2.</t>
  </si>
  <si>
    <t xml:space="preserve">                в органы Роспотребнадзора;</t>
  </si>
  <si>
    <t>3.3.3.</t>
  </si>
  <si>
    <t xml:space="preserve">                в ФМБА России;</t>
  </si>
  <si>
    <t>3.3.4.</t>
  </si>
  <si>
    <t xml:space="preserve">                в органы МЧС России;</t>
  </si>
  <si>
    <t>3.3.5.</t>
  </si>
  <si>
    <t xml:space="preserve">                в органы МВД России;</t>
  </si>
  <si>
    <t xml:space="preserve">                в иные органы;</t>
  </si>
  <si>
    <t>3.4.</t>
  </si>
  <si>
    <t>количество проверок (из строки 3), в том числе, по результатам которых проведены административные расследования, (ед.).</t>
  </si>
  <si>
    <t>4.</t>
  </si>
  <si>
    <t>Количество проверок, проведенных совместно с другими органами государственной власти</t>
  </si>
  <si>
    <t>5.</t>
  </si>
  <si>
    <t>Общее количество заявлений, направленных в органы прокуратуры о согласовании проведения проверок</t>
  </si>
  <si>
    <t>5.1.</t>
  </si>
  <si>
    <t>количество заявлений, направленных в органы прокуратуры о согласовании проведения проверок, в согласовании которых было отказано</t>
  </si>
  <si>
    <t>6.</t>
  </si>
  <si>
    <t xml:space="preserve">Количество проверок, признанных недействительными, всего, в том числе: </t>
  </si>
  <si>
    <t>6.1.</t>
  </si>
  <si>
    <t xml:space="preserve"> по решению вышестоящих должностных лиц</t>
  </si>
  <si>
    <t>6.2.</t>
  </si>
  <si>
    <t>по решению суда</t>
  </si>
  <si>
    <t>6.3.</t>
  </si>
  <si>
    <t>по представлениям органов прокуратуры</t>
  </si>
  <si>
    <t>7.</t>
  </si>
  <si>
    <t>Количество проверок, проведенных с нарушениями требований законодательства Российской Федерации о порядке их проведения, по результатам выявления которых к должностным лицам, осуществившим такие проверки, применены меры дисциплинарного, административного наказания</t>
  </si>
  <si>
    <t>8.</t>
  </si>
  <si>
    <t>Количество проверок, которые не удалось провести, всего, в том числе:</t>
  </si>
  <si>
    <t>81.</t>
  </si>
  <si>
    <t xml:space="preserve"> в связи с отсутствием проверяемого лица по месту нахождения (жительства), указанному в государственных информационных ресурсах</t>
  </si>
  <si>
    <t>8.2.</t>
  </si>
  <si>
    <t>в связи с отсутствием руководителя организации, иного уполномоченного лица</t>
  </si>
  <si>
    <t>8.3.</t>
  </si>
  <si>
    <t>в связи с изменением статуса проверяемого лица</t>
  </si>
  <si>
    <t>8.4.</t>
  </si>
  <si>
    <t>в связи со сменой владельца объекта капитального строительства</t>
  </si>
  <si>
    <t>8.5.</t>
  </si>
  <si>
    <t>в связи с прекращением осуществления проверяемой сферы деятельности</t>
  </si>
  <si>
    <t>9.</t>
  </si>
  <si>
    <t xml:space="preserve">Общая фактическая продолжительность проведения  проверок в соответствии с актами проверок, дней </t>
  </si>
  <si>
    <t>10.</t>
  </si>
  <si>
    <t>Общий срок проведенных межведомственных проверок в соответствии с актами проверок</t>
  </si>
  <si>
    <t>11.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</si>
  <si>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</si>
  <si>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12.</t>
  </si>
  <si>
    <t xml:space="preserve">Общее количество административных расследований, (ед.), в том числе:  </t>
  </si>
  <si>
    <t>12.1.</t>
  </si>
  <si>
    <t xml:space="preserve">       по окончании которых составлены протоколы об административных правонарушениях, из них (ед.): </t>
  </si>
  <si>
    <t>12.1.1.</t>
  </si>
  <si>
    <t xml:space="preserve">       по результатам рассмотрения дел об административных правонарушениях, наложены административные наказания.</t>
  </si>
  <si>
    <t>13.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</si>
  <si>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</si>
  <si>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14.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</si>
  <si>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</si>
  <si>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15.</t>
  </si>
  <si>
    <t>Количество постановлений, вынесенных по результатам проведения административных расследований, о назначении административного наказания в виде административного штрафа</t>
  </si>
  <si>
    <t>16.</t>
  </si>
  <si>
    <t>Количество постановлений, вынесенных по результатам проведения административных расследований, о назначении административного наказания в виде предупреждения</t>
  </si>
  <si>
    <t>17.</t>
  </si>
  <si>
    <t>Общая сумма административных штрафов, наложенных в соответствии с постановлениями, вынесенными по результатам проведения административных расследований, в том числе:</t>
  </si>
  <si>
    <t>17.1.</t>
  </si>
  <si>
    <t>на граждан</t>
  </si>
  <si>
    <t>17.2.</t>
  </si>
  <si>
    <t>на должностных лиц</t>
  </si>
  <si>
    <t>17.3.</t>
  </si>
  <si>
    <t>на индивидуальных предпринимателей</t>
  </si>
  <si>
    <t>17.4.</t>
  </si>
  <si>
    <t>на юридических лиц</t>
  </si>
  <si>
    <t>18.</t>
  </si>
  <si>
    <t>Общая сумма уплаченных (взысканных) административных штрафов, наложенных по результатам административных расследований, тыс. руб.</t>
  </si>
  <si>
    <t>19.</t>
  </si>
  <si>
    <t>Продолжительность всех проведенных административных расследований, час</t>
  </si>
  <si>
    <t>20.</t>
  </si>
  <si>
    <t>Общее число должностных лиц, задействованных в проведении всех административных расследований</t>
  </si>
  <si>
    <t>21.</t>
  </si>
  <si>
    <t>Общее количество протоколов об административных правонарушениях, составленных работниками Ростехнадзора</t>
  </si>
  <si>
    <t>21.1.</t>
  </si>
  <si>
    <t>Количество протоколов об административных правонарушениях, подлежащих рассмотрению судебными органами</t>
  </si>
  <si>
    <t>22.</t>
  </si>
  <si>
    <t>Общее количество вынесенных постановлений (решений суда) о прекращении производства по делу об административном правонарушении</t>
  </si>
  <si>
    <t>22.1.</t>
  </si>
  <si>
    <t>Количество вынесенных постановлений (решений суда) о прекращении производства по делу об административном правонарушении в связи с малозначительностью нарушения</t>
  </si>
  <si>
    <t>23.</t>
  </si>
  <si>
    <t>Количество постановлений (решений суда) о назначении административных наказаний, вынесенных по результатам рассмотрения дел об административных правонарушениях (за исключением административных расследований)</t>
  </si>
  <si>
    <t>23.1.</t>
  </si>
  <si>
    <t>Количество вынесенных постановлений (решений суда) о назначении наказания в виде административного штрафа</t>
  </si>
  <si>
    <t>23.1.1.</t>
  </si>
  <si>
    <t>Количество вынесенных постановлений (решений суда) о назначении административного наказания в виде административного штрафа в отношении должностных лиц, тыс. руб.</t>
  </si>
  <si>
    <t>23.1.2.</t>
  </si>
  <si>
    <t>Количество вынесенных постановлений (решений суда)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</si>
  <si>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23.2.</t>
  </si>
  <si>
    <t>Количество вынесенных постановлений (решений суда) о назначении административного наказания в виде предупреждения, из них:</t>
  </si>
  <si>
    <t>Количество дел об административных правонарушениях, возбужденных в отношении лиц, являющихся субъектами малого и среднего предпринимательства, по результатам рассмотрения которых административный штраф был заменен на предупреждение</t>
  </si>
  <si>
    <t>24.</t>
  </si>
  <si>
    <t>Количество выявленных нарушений – всего (сумма строк 24.1-24.2, а также 24.3.-24.9., 24.10-24.13.), (ед.), в том числе:</t>
  </si>
  <si>
    <t>24.1.</t>
  </si>
  <si>
    <t>24.2.</t>
  </si>
  <si>
    <t xml:space="preserve">       по иным основаниям, предусмотренным законодательством Российской Федерации (ед.)</t>
  </si>
  <si>
    <t>24.3.</t>
  </si>
  <si>
    <t>в том числе:</t>
  </si>
  <si>
    <t>24.3.1.</t>
  </si>
  <si>
    <t>24.3.2.</t>
  </si>
  <si>
    <t xml:space="preserve">       по иным основаниям, предусмотренным законодательством Российской Федерации.</t>
  </si>
  <si>
    <t>24.4.</t>
  </si>
  <si>
    <t>24.4.1.</t>
  </si>
  <si>
    <t>24.4.2.</t>
  </si>
  <si>
    <t>24.5.</t>
  </si>
  <si>
    <t>24.5.1.</t>
  </si>
  <si>
    <t>24.5.2.</t>
  </si>
  <si>
    <t>нарушение требований к ведению исполнительной документации, всего, в том числе:</t>
  </si>
  <si>
    <t>24.6.1.</t>
  </si>
  <si>
    <t>24.6.2.</t>
  </si>
  <si>
    <t>24.7.</t>
  </si>
  <si>
    <t>нарушение требований в сфере охраны окружающей среды, всего, в том числе:</t>
  </si>
  <si>
    <t>24.7.1.</t>
  </si>
  <si>
    <t>24.7.2.</t>
  </si>
  <si>
    <t>24.8.</t>
  </si>
  <si>
    <t>24.8.1.</t>
  </si>
  <si>
    <t>24.8.2.</t>
  </si>
  <si>
    <t>24.9.</t>
  </si>
  <si>
    <t>нарушение требований пожарной безопасности, всего,</t>
  </si>
  <si>
    <t>24.9.1.</t>
  </si>
  <si>
    <t>24.9.2.</t>
  </si>
  <si>
    <t>24.10.</t>
  </si>
  <si>
    <t>устранено в ходе проверки;</t>
  </si>
  <si>
    <t>24.11.</t>
  </si>
  <si>
    <t>предписано к устранению техническому заказчику, застройщику (указано в предписании);</t>
  </si>
  <si>
    <t>24.12.</t>
  </si>
  <si>
    <t>предписано к устранению лицу, осуществляющему строительство (указано в предписании);</t>
  </si>
  <si>
    <t>24.13.</t>
  </si>
  <si>
    <t>предписано к устранению лицу, осуществляющему строительный контроль на основании договора (указано в предписании).</t>
  </si>
  <si>
    <t>25.</t>
  </si>
  <si>
    <t>Общее количество проверок, по результатам проведения которых по фактам выявленных нарушений возбуждены дела об административных правонарушениях  (сумма строк 25.1 и 25.2), (ед.), в том числе:</t>
  </si>
  <si>
    <t>25.1.</t>
  </si>
  <si>
    <t xml:space="preserve">      по программе проведения проверок;</t>
  </si>
  <si>
    <t>25.2.</t>
  </si>
  <si>
    <t xml:space="preserve">      по иным основаниям, предусмотренным законодательством Российской Федерации.</t>
  </si>
  <si>
    <t>26.</t>
  </si>
  <si>
    <t>Количество проведенных профилактических мероприятий</t>
  </si>
  <si>
    <t>26.1.</t>
  </si>
  <si>
    <t>Количество размещенных на официальном сайте перечней нормативных правовых актов (и их частей), содержащих обязательные требования, ед.</t>
  </si>
  <si>
    <t xml:space="preserve">26.2. </t>
  </si>
  <si>
    <t>Количество подготовленных комментариев об изменениях в законодательстве, ед.</t>
  </si>
  <si>
    <t>27.</t>
  </si>
  <si>
    <t>Количество примененных мер профилактического воздействия (предостережения), (ед.)</t>
  </si>
  <si>
    <t>28.</t>
  </si>
  <si>
    <t>Количество объектов капитального строительства, в отношении которых проведены профилактические мероприятия, шт.</t>
  </si>
  <si>
    <t>29.</t>
  </si>
  <si>
    <t>Предотвращенный ущерб в результате проведения профилактических мероприятий, млн. руб.</t>
  </si>
  <si>
    <t>30.</t>
  </si>
  <si>
    <t>Количество профилактических мероприятий, проведенных с привлечением экспертных организаций и экспертов</t>
  </si>
  <si>
    <t>31.</t>
  </si>
  <si>
    <t>Количество граждан и подконтрольных (поднадзорных) субъектов ознакомленных с профилактическими материалами и присутствующих на профилактических мероприятиях</t>
  </si>
  <si>
    <t>32.</t>
  </si>
  <si>
    <t>Общее количество административных наказаний, наложенных по результатам проверок – всего (сумма строк 32.1 и 32.2, а также сумма строк 32.3, 32.4, 32.5, 32.6),  (ед.), в том числе:</t>
  </si>
  <si>
    <t>32.1.</t>
  </si>
  <si>
    <t>32.2.</t>
  </si>
  <si>
    <t xml:space="preserve">      по иным основаниям, предусмотренным законодательством Российской Федерации, (ед.),</t>
  </si>
  <si>
    <t>в том числе по видам наказаний (из строки 32):</t>
  </si>
  <si>
    <t>32.3.</t>
  </si>
  <si>
    <t xml:space="preserve">       административное приостановление деятельности, (ед.);</t>
  </si>
  <si>
    <t>32.4.</t>
  </si>
  <si>
    <t xml:space="preserve">      временный запрет деятельности, (ед.);</t>
  </si>
  <si>
    <t>32.5.</t>
  </si>
  <si>
    <t xml:space="preserve">      предупреждение, (ед.);</t>
  </si>
  <si>
    <t>32.6.</t>
  </si>
  <si>
    <t xml:space="preserve">      административный штраф (сумма строк 32.6.1 –32.6.4), (ед.), в том числе наложено:</t>
  </si>
  <si>
    <t>32.6.1.</t>
  </si>
  <si>
    <t xml:space="preserve">            на гражданина;</t>
  </si>
  <si>
    <t>32.6.2.</t>
  </si>
  <si>
    <t xml:space="preserve">            на должностное лицо;</t>
  </si>
  <si>
    <t>32.6.3.</t>
  </si>
  <si>
    <t xml:space="preserve">            на индивидуального предпринимателя;</t>
  </si>
  <si>
    <t>32.6.4.</t>
  </si>
  <si>
    <t xml:space="preserve">            на юридическое лицо.</t>
  </si>
  <si>
    <t>33.</t>
  </si>
  <si>
    <t>Общее количество взысканных административных штрафов (сумма строк 33.1 –33.4), (ед.), в том числе:</t>
  </si>
  <si>
    <t>33.1.</t>
  </si>
  <si>
    <t xml:space="preserve">      с гражданина;</t>
  </si>
  <si>
    <t>33.2.</t>
  </si>
  <si>
    <t xml:space="preserve">      с должностного лица;</t>
  </si>
  <si>
    <t>33.3.</t>
  </si>
  <si>
    <t xml:space="preserve">      с индивидуального предпринимателя;</t>
  </si>
  <si>
    <t>33.4.</t>
  </si>
  <si>
    <t xml:space="preserve">      с юридического лица.</t>
  </si>
  <si>
    <t>34.</t>
  </si>
  <si>
    <t>Общая сумма административных штрафов, наложенных по результатам проверок – всего (сумма строк 34.1 и 34.2, а также сумма строк 34.3 – 34.6), (тыс. рублей), в том числе:</t>
  </si>
  <si>
    <t>34.1.</t>
  </si>
  <si>
    <t>34.2.</t>
  </si>
  <si>
    <t xml:space="preserve">      по иным основаниям, предусмотренным законодательством Российской Федерации;</t>
  </si>
  <si>
    <t xml:space="preserve">      в том числе по субъектам административной ответственности (из строки 34), (тыс. рублей):</t>
  </si>
  <si>
    <t>34.3.</t>
  </si>
  <si>
    <t xml:space="preserve">      на гражданина;</t>
  </si>
  <si>
    <t>34.4.</t>
  </si>
  <si>
    <t xml:space="preserve">      на должностное лицо;</t>
  </si>
  <si>
    <t>34.5.</t>
  </si>
  <si>
    <t xml:space="preserve">      на индивидуального предпринимателя;</t>
  </si>
  <si>
    <t>34.6.</t>
  </si>
  <si>
    <t xml:space="preserve">      на юридическое лицо.</t>
  </si>
  <si>
    <t>35.</t>
  </si>
  <si>
    <t>Общая сумма взысканных административных штрафов (сумма строк 35.1 – 35.4), (тыс. рублей), в том числе:</t>
  </si>
  <si>
    <t>35.1.</t>
  </si>
  <si>
    <t>35.2.</t>
  </si>
  <si>
    <t>35.3.</t>
  </si>
  <si>
    <t>35.4.</t>
  </si>
  <si>
    <t>36.</t>
  </si>
  <si>
    <t>Общее количество предписаний, выданных по результатам проведения проверок (сумма строк 36.1-36.2, а также сумма строк 36.3-36.5 и 36.6-36.7.), (ед.), в том числе:</t>
  </si>
  <si>
    <t>36.1.</t>
  </si>
  <si>
    <t>36.2.</t>
  </si>
  <si>
    <t>36.3.</t>
  </si>
  <si>
    <t>техническому заказчику или застройщику;</t>
  </si>
  <si>
    <t>36.4.</t>
  </si>
  <si>
    <t>лицу, осуществляющему строительство;</t>
  </si>
  <si>
    <t>36.5.</t>
  </si>
  <si>
    <t>лицу, осуществляющему строительный контроль на основании договора.</t>
  </si>
  <si>
    <t>в том числе по исполнению ранее выданных предписаний (из строки 36), из них:</t>
  </si>
  <si>
    <t>36.5.1</t>
  </si>
  <si>
    <t xml:space="preserve">      исполнено;</t>
  </si>
  <si>
    <t>36.5.2</t>
  </si>
  <si>
    <t xml:space="preserve">      не исполнено.</t>
  </si>
  <si>
    <t>37.</t>
  </si>
  <si>
    <t>Общее количество строящихся (реконструируемых) объектов капитального строительства, подлежащих надзору</t>
  </si>
  <si>
    <t>37.1.</t>
  </si>
  <si>
    <t>Количество объектов капитального строительства, в отношении которых были проведены проверки</t>
  </si>
  <si>
    <t>38.</t>
  </si>
  <si>
    <t>Общее количество юридических лиц, индивидуальных предпринимателей, в отношении которых проводились проверки (ед.), в том числе:</t>
  </si>
  <si>
    <t>-</t>
  </si>
  <si>
    <t>38.1.</t>
  </si>
  <si>
    <r>
      <t xml:space="preserve">      количество юридических лиц, индивидуальных </t>
    </r>
    <r>
      <rPr>
        <sz val="9"/>
        <color theme="1"/>
        <rFont val="Times New Roman"/>
        <family val="1"/>
        <charset val="204"/>
      </rPr>
      <t>предпринимателей, в отношении которых в ходе проведения проверок, выявлены нарушения, (ед.).</t>
    </r>
    <r>
      <rPr>
        <sz val="9"/>
        <color rgb="FF000000"/>
        <rFont val="Times New Roman"/>
        <family val="1"/>
        <charset val="204"/>
      </rPr>
      <t xml:space="preserve">  </t>
    </r>
  </si>
  <si>
    <t>39.</t>
  </si>
  <si>
    <t>Количество постановлений по делам об административных правонарушениях, которые были отменены – всего, (сумма строк 39.1 – 39.3), (ед.), в том числе:</t>
  </si>
  <si>
    <t>39.1.</t>
  </si>
  <si>
    <t xml:space="preserve">     по решению суда;</t>
  </si>
  <si>
    <t>39.2.</t>
  </si>
  <si>
    <t xml:space="preserve">     по предписанию органов прокуратуры;</t>
  </si>
  <si>
    <t>39.3.</t>
  </si>
  <si>
    <t xml:space="preserve">     по решению руководителя (зам. руководителя) органа государственного надзора (территориального органа).</t>
  </si>
  <si>
    <t>40.</t>
  </si>
  <si>
    <t>Общее число обращений в суд с заявлениями об административном приостановлении деятельности</t>
  </si>
  <si>
    <t>40.1.</t>
  </si>
  <si>
    <t>Количество решений судов об удовлетворении заявлений Ростехнадзора об административном приостановлении деятельности;</t>
  </si>
  <si>
    <t>41.</t>
  </si>
  <si>
    <t>Общее количество проверок по результатам которых материалы о выявленных нарушениях переданы в уполномоченные органы для возбуждения уголовных дел</t>
  </si>
  <si>
    <t>42.</t>
  </si>
  <si>
    <t>Количество субъектов, допустивших нарушения, в результате которых причин вред (ущерб) или была создана угроза его причинения, выявленные в результате проведения контрольно-надзорных мероприятий</t>
  </si>
  <si>
    <t>42.1.</t>
  </si>
  <si>
    <t>Количество субъектов, допустивших повторные нарушения, ставшие фактором причинения вреда (ущерба), представляющие непосредственную угрозу причинения вреда (ущерба) или являющиеся грубыми нарушениями</t>
  </si>
  <si>
    <t>43.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</si>
  <si>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</si>
  <si>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44.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</si>
  <si>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</si>
  <si>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44.1.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</si>
  <si>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</si>
  <si>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45.</t>
  </si>
  <si>
    <t>Количество штатных единиц по должностям, предусматривающим выполнение функций по надзору – всего (сумма строк 45.1, 45.2), (ед.), в том числе:</t>
  </si>
  <si>
    <t>45.1.</t>
  </si>
  <si>
    <t xml:space="preserve">     занятых;</t>
  </si>
  <si>
    <t>45.2.</t>
  </si>
  <si>
    <t xml:space="preserve">     вакантных.</t>
  </si>
  <si>
    <t>46.</t>
  </si>
  <si>
    <t>Общее количество должностных лиц, включенных в распоряжения о проведении проверок</t>
  </si>
  <si>
    <t>46.1.</t>
  </si>
  <si>
    <t>Общее количество должностных лиц, задействованных в проведении межведомственных проверок</t>
  </si>
  <si>
    <t>47.</t>
  </si>
  <si>
    <t>Количество поднадзорных объектов, в отношении которых заключение о соответствии объекта установленным требованиям не выдано (сумма строк 47.1-47.13 и 16.14 включительно), (ед.), в том числе:</t>
  </si>
  <si>
    <t>47.1.</t>
  </si>
  <si>
    <t xml:space="preserve">      строительство, реконструкцию которых предполагается осуществлять на территориях двух и более субъектов Российской Федерации; </t>
  </si>
  <si>
    <t>47.2.</t>
  </si>
  <si>
    <t xml:space="preserve">      строительство, реконструкцию которых предполагается осуществлять территориях посольств, консульств и представительств Российской Федерации за рубежом; </t>
  </si>
  <si>
    <t>47.3.</t>
  </si>
  <si>
    <t xml:space="preserve">      строительство, реконструкцию которых предполагается осуществлять в исключительной экономической зоне Российской Федерации;</t>
  </si>
  <si>
    <t>47.4.</t>
  </si>
  <si>
    <t xml:space="preserve">      строительство, реконструкцию которых предполагается осуществлять на континентальном шельфе Российской Федерации; </t>
  </si>
  <si>
    <t>47.5.</t>
  </si>
  <si>
    <t xml:space="preserve">      строительство, реконструкцию которых предполагается осуществлять во внутренних морских водах;</t>
  </si>
  <si>
    <t>47.6.</t>
  </si>
  <si>
    <t xml:space="preserve">       строительство, реконструкцию которых предполагается осуществлять в территориальном море Российской Федерации;</t>
  </si>
  <si>
    <t>47.7.</t>
  </si>
  <si>
    <t xml:space="preserve">      объекты обороны и безопасности;</t>
  </si>
  <si>
    <t>47.8.</t>
  </si>
  <si>
    <t xml:space="preserve">      иные объекты, сведения о которых составляют государственную тайну; </t>
  </si>
  <si>
    <t>47.9.</t>
  </si>
  <si>
    <t xml:space="preserve">      автомобильные дороги федерального значения;</t>
  </si>
  <si>
    <t>47.10.</t>
  </si>
  <si>
    <t xml:space="preserve">      объекты культурного наследия; </t>
  </si>
  <si>
    <t>47.11.</t>
  </si>
  <si>
    <t xml:space="preserve">      объекты, связанные с размещением и обезвреживанием отходов I - V классов опасности; </t>
  </si>
  <si>
    <t>47.12.</t>
  </si>
  <si>
    <t xml:space="preserve">      иные объекты, определенные Правительством Российской Федерации;</t>
  </si>
  <si>
    <t>47.13.</t>
  </si>
  <si>
    <t xml:space="preserve">      особо опасные, технически сложные и уникальные объекты, (сумма строк 47.13.1-47.13.11, 47.13.12., 47.13.13) (ед.), в том числе:</t>
  </si>
  <si>
    <t>47.13.1.</t>
  </si>
  <si>
    <t xml:space="preserve">              объекты использования атомной энергии;</t>
  </si>
  <si>
    <t>47.13.2.</t>
  </si>
  <si>
    <t xml:space="preserve">              гидротехнические сооружения первого и второго классов;</t>
  </si>
  <si>
    <t>47.13.3.</t>
  </si>
  <si>
    <t xml:space="preserve">              сооружения связи;</t>
  </si>
  <si>
    <t>47.13.4.</t>
  </si>
  <si>
    <t xml:space="preserve">              линии электропередачи и иные объекты электросетевого хозяйства напряжением 330 киловольт и более;</t>
  </si>
  <si>
    <t>47.13.5.</t>
  </si>
  <si>
    <t xml:space="preserve">             объекты космической инфраструктуры;</t>
  </si>
  <si>
    <t>47.13.6.</t>
  </si>
  <si>
    <t xml:space="preserve">             объекты авиационной инфраструктуры;</t>
  </si>
  <si>
    <t>47.13.7.</t>
  </si>
  <si>
    <t xml:space="preserve">             объекты инфраструктуры железнодорожного транспорта общего пользования;</t>
  </si>
  <si>
    <t>47.13.8.</t>
  </si>
  <si>
    <t xml:space="preserve">             метрополитены;</t>
  </si>
  <si>
    <t>47.13.9.</t>
  </si>
  <si>
    <t xml:space="preserve">             морские порты;</t>
  </si>
  <si>
    <t>47.13.10</t>
  </si>
  <si>
    <t xml:space="preserve">             тепловые электростанции мощностью 150 мегаватт и выше;</t>
  </si>
  <si>
    <t>47.13.11</t>
  </si>
  <si>
    <t>опасные производственные объекты, подлежащие регистрации в государственном реестре в соответствии с законодательством Российской Федерации о промышленной безопасности опасных производственных объектов, (сумма строк 47.13.11.1, 47.13.11.2, 47.13.11.3, 47.13.11.4), (ед.), в том числе:</t>
  </si>
  <si>
    <t>47.13.11.1</t>
  </si>
  <si>
    <t>опасные производственные объекты I и II классов опасности, на которых получаются, используются, перерабатываются, образуются, хранятся, транспортируются, уничтожаются опасные вещества, (ед.), из них:</t>
  </si>
  <si>
    <t>47.13.11.1.1</t>
  </si>
  <si>
    <t xml:space="preserve">опасные производственные объекты бурения и добычи нефти, газа и газового конденсата; </t>
  </si>
  <si>
    <t>47.13.11.2</t>
  </si>
  <si>
    <t>опасные производственные объекты, на которых получаются, транспортируются, используются расплавы черных и цветных металлов, сплавы на основе этих расплавов с применением оборудования, рассчитанного на максимальное количество расплава 500 килограммов и более;</t>
  </si>
  <si>
    <t>47.13.11.3</t>
  </si>
  <si>
    <t>опасные производственные объекты, на которых ведутся горные работы (за исключением добычи общераспространенных полезных ископаемых и разработки россыпных месторождений полезных ископаемых, осуществляемых открытым способом без применения взрывных работ), работы по обогащению полезных ископаемых</t>
  </si>
  <si>
    <t>47.13.11.4</t>
  </si>
  <si>
    <t xml:space="preserve">              иные опасные производственные объекты;</t>
  </si>
  <si>
    <t>47.13.12</t>
  </si>
  <si>
    <t xml:space="preserve">             уникальные объекты;</t>
  </si>
  <si>
    <t>47.13.13.</t>
  </si>
  <si>
    <t xml:space="preserve">            "подвесные канатные дороги"</t>
  </si>
  <si>
    <t>47.14.</t>
  </si>
  <si>
    <t xml:space="preserve">     иные объекты, в соответствии с законодательством Российской Федерации.</t>
  </si>
  <si>
    <t>48.</t>
  </si>
  <si>
    <t>Количество работающих на поднадзорных объектах</t>
  </si>
  <si>
    <t>49.</t>
  </si>
  <si>
    <t>Количество выданных заключений о соответствии объекта капитального строительства установленным требованиям (сумма строк 49.1-49.13 и 49.14 включительно), (ед.), в том числе выданных в отношении объектов:</t>
  </si>
  <si>
    <t>49.1.</t>
  </si>
  <si>
    <t xml:space="preserve">     строительство, реконструкцию которых предполагается осуществлять на территориях двух и более субъектов Российской Федерации; </t>
  </si>
  <si>
    <t>49.2.</t>
  </si>
  <si>
    <t xml:space="preserve">     строительство, реконструкцию которых предполагается осуществлять территориях посольств, консульств и представительств Российской Федерации за рубежом; </t>
  </si>
  <si>
    <t>49.3.</t>
  </si>
  <si>
    <t xml:space="preserve">     строительство, реконструкцию которых предполагается осуществлять в исключительной экономической зоне Российской Федерации;</t>
  </si>
  <si>
    <t>49.4.</t>
  </si>
  <si>
    <t xml:space="preserve">     строительство, реконструкцию которых предполагается осуществлять на континентальном шельфе Российской Федерации; </t>
  </si>
  <si>
    <t>49.5.</t>
  </si>
  <si>
    <t xml:space="preserve">     строительство, реконструкцию которых предполагается осуществлять во внутренних морских водах;</t>
  </si>
  <si>
    <t>49.6.</t>
  </si>
  <si>
    <t xml:space="preserve">     строительство, реконструкцию которых предполагается осуществлять в территориальном море Российской Федерации;</t>
  </si>
  <si>
    <t>49.7.</t>
  </si>
  <si>
    <t xml:space="preserve">     объекты обороны и безопасности;</t>
  </si>
  <si>
    <t>49.8.</t>
  </si>
  <si>
    <t xml:space="preserve">     иные объекты, сведения о которых составляют государственную тайну; </t>
  </si>
  <si>
    <t>49.9.</t>
  </si>
  <si>
    <t xml:space="preserve">     автомобильные дороги федерального значения;</t>
  </si>
  <si>
    <t>49.10.</t>
  </si>
  <si>
    <t xml:space="preserve">     объекты культурного наследия </t>
  </si>
  <si>
    <t>49.11.</t>
  </si>
  <si>
    <t xml:space="preserve">     объекты, связанные с размещением и обезвреживанием отходов I - V классов опасности; </t>
  </si>
  <si>
    <t>49.12.</t>
  </si>
  <si>
    <t xml:space="preserve">     иные объекты, определенные Правительством Российской Федерации.</t>
  </si>
  <si>
    <t>49.13.</t>
  </si>
  <si>
    <t xml:space="preserve">     особо опасные, технически сложные и уникальные объекты, (сумма строк 49.13.1-49.13.11, 49.13.12, 49.13.13.), (ед.), в том числе:</t>
  </si>
  <si>
    <t>49.13.1</t>
  </si>
  <si>
    <t xml:space="preserve">           объекты использования атомной энергии;</t>
  </si>
  <si>
    <t>49.13.2.</t>
  </si>
  <si>
    <t xml:space="preserve">           гидротехнические сооружения первого и второго классов;</t>
  </si>
  <si>
    <t>49.13.3</t>
  </si>
  <si>
    <t xml:space="preserve">           сооружения связи;</t>
  </si>
  <si>
    <t>49.13.4</t>
  </si>
  <si>
    <t xml:space="preserve">           линии электропередачи и иные объекты электросетевого хозяйства напряжением 330 киловольт и более;</t>
  </si>
  <si>
    <t>49.13.5</t>
  </si>
  <si>
    <t xml:space="preserve">          объекты космической инфраструктуры;</t>
  </si>
  <si>
    <t>49.13.6</t>
  </si>
  <si>
    <t xml:space="preserve">          объекты авиационной инфраструктуры;</t>
  </si>
  <si>
    <t>49.13.7</t>
  </si>
  <si>
    <t xml:space="preserve">          объекты инфраструктуры железнодорожного транспорта общего пользования;</t>
  </si>
  <si>
    <t>49.13.8</t>
  </si>
  <si>
    <t xml:space="preserve">           метрополитены;</t>
  </si>
  <si>
    <t>49.13.9</t>
  </si>
  <si>
    <t xml:space="preserve">           морские порты;</t>
  </si>
  <si>
    <t>49.13.10</t>
  </si>
  <si>
    <t xml:space="preserve">          тепловые электростанции мощностью 150 мегаватт и выше;</t>
  </si>
  <si>
    <t>49.13.11</t>
  </si>
  <si>
    <t xml:space="preserve">          опасные производственные объекты, подлежащие регистрации в государственном реестре в соответствии с законодательством Российской Федерации о промышленной безопасности опасных производственных объектов (сумма строк 49.13.11.1, 49.13.11.2, 4913.11.3, 49.13.11.4), (ед.), в том числе,</t>
  </si>
  <si>
    <t>49.13.11.1</t>
  </si>
  <si>
    <t xml:space="preserve">                опасные производственные объекты I и II классов опасности, на которых получаются, используются, перерабатываются, образуются, хранятся, транспортируются, уничтожаются опасные вещества, (ед.), из них:</t>
  </si>
  <si>
    <t>49.13.11.1.1</t>
  </si>
  <si>
    <t xml:space="preserve">                       опасные производственные объекты бурения и добычи нефти, газа и газового конденсата; </t>
  </si>
  <si>
    <t>49.13.11.2</t>
  </si>
  <si>
    <t xml:space="preserve">                 опасные производственные объекты, на которых получаются, транспортируются, используются расплавы черных и цветных металлов, сплавы на основе этих расплавов с применением оборудования, рассчитанного на максимальное количество расплава 500 килограммов и более;</t>
  </si>
  <si>
    <t>49.13.11.3</t>
  </si>
  <si>
    <t xml:space="preserve">                опасные производственные объекты, на которых ведутся горные работы (за исключением добычи общераспространенных полезных ископаемых и разработки россыпных месторождений полезных ископаемых, осуществляемых открытым способом без применения взрывных работ), работы по обогащению полезных ископаемых;</t>
  </si>
  <si>
    <t>49.13.11.4</t>
  </si>
  <si>
    <t xml:space="preserve">                 иные опасные производственные объекты;</t>
  </si>
  <si>
    <t>49.13.12</t>
  </si>
  <si>
    <t xml:space="preserve">           уникальные объекты;</t>
  </si>
  <si>
    <t>49.13.13.</t>
  </si>
  <si>
    <t xml:space="preserve">           "подвесные канатные дороги"</t>
  </si>
  <si>
    <t>49.14</t>
  </si>
  <si>
    <t>50.</t>
  </si>
  <si>
    <t>Количество выданных решений об отказе в выдаче заключений о соответствии объекта капитального строительства установленным требованиям, (ед.)</t>
  </si>
  <si>
    <t>51.</t>
  </si>
  <si>
    <t>Количество объектов, государственный строительный надзор при строительстве (реконструкции) которых был прекращен по иным основаниям, без выдачи заключения о соответствии объекта капитального строительства установленным требованиям, (ед.).</t>
  </si>
  <si>
    <t>52.</t>
  </si>
  <si>
    <t>Количество аварийных ситуаций на поднадзорных объектах капитального строительства, (ед.).</t>
  </si>
  <si>
    <t>52.1.</t>
  </si>
  <si>
    <t>из них, аварийных ситуаций в результате действий третьих лиц</t>
  </si>
  <si>
    <t>53.</t>
  </si>
  <si>
    <t>Количество травмированных в результате аварий при строительстве, реконструкции объекта капитального строительства, всего</t>
  </si>
  <si>
    <t xml:space="preserve">в том  числе: </t>
  </si>
  <si>
    <t>53.1.</t>
  </si>
  <si>
    <t>со смертельным исходом</t>
  </si>
  <si>
    <t>53.2.</t>
  </si>
  <si>
    <t>с тяжелым исходом</t>
  </si>
  <si>
    <t>54.</t>
  </si>
  <si>
    <t>Всего травмированных в результате аварий и несчастных случаев, всего, из них:</t>
  </si>
  <si>
    <t>54.1.</t>
  </si>
  <si>
    <t>со смертельным исходом;</t>
  </si>
  <si>
    <t>54.2.</t>
  </si>
  <si>
    <t>55.</t>
  </si>
  <si>
    <t>Ущерб (причиненный вред) в результате аварий при строительстве, реконструкции объекта капитального строительства, тыс. руб., всего</t>
  </si>
  <si>
    <t>55.1.</t>
  </si>
  <si>
    <t xml:space="preserve">материальный ущерб (причиненный вред) в результате аварий при строительстве, реконструкции объекта капитального строительства, тыс. руб. </t>
  </si>
  <si>
    <t>55.2.</t>
  </si>
  <si>
    <t xml:space="preserve">материальный ущерб (причиненный вред) третьим лицам  в результате аварий при строительстве, реконструкции объекта капитального строительства, тыс. руб. </t>
  </si>
  <si>
    <t xml:space="preserve">суммарные затраты организаций на ликвидацию последствий аварий при строительстве, реконструкции объекта капитального строительства, тыс. руб. </t>
  </si>
  <si>
    <t>Примечания:</t>
  </si>
  <si>
    <t>1. В строках с 1 по 1.2.8 указываются сведения о количестве проверок, проведенных за отчетный период (нарастающим итогом) в отношении юридических лиц, индивидуальных предпринимателей в соответствии с распорядительными документами о проведении проверок с оформлением актов проверок.</t>
  </si>
  <si>
    <t>4. Территориальные органы Ростехнадзора, осуществляющие государственный строительный надзор, заполняют указанную форму по объектам государственного строительного надзора, находящимся непосредственно в их ведении. Заполненные формы территориальные органы Ростехнадзора, осуществляющие государственный строительный надзор, направляют, в том числе, в Управление государственного строительного надзора Ростехнадзора.</t>
  </si>
  <si>
    <t>5. Отчетные данные в отношении объектов использования атомной энергии по вышеуказанной форме заполняются Межрегиональными территориальными управлениями по надзору за ядерной и радиационной безопасностью Ростехнадзора.</t>
  </si>
  <si>
    <t xml:space="preserve">              по иным основаниям, в соответствии с законодательством Российской Федерации</t>
  </si>
  <si>
    <t>3.3.6.</t>
  </si>
  <si>
    <t>23.2.1.</t>
  </si>
  <si>
    <t>нарушение требований проектной документации, всего, в том числе:</t>
  </si>
  <si>
    <t>нарушение требований технических регламентов, всего, в том числе:</t>
  </si>
  <si>
    <t>нарушение установленного порядка строительства, всего, в том числе:</t>
  </si>
  <si>
    <t>нарушение санитарно-эпидемиологических требований, всего, в том числе:</t>
  </si>
  <si>
    <t>2. В строках с 1.1 по 1.2.8 в случае, если для проведения проверки существуют несколько оснований, то указывается только одно из них, в частности если одним из оснований является программа проведения проверок, то указывается только основание в строке 1.1.</t>
  </si>
  <si>
    <t xml:space="preserve">3. Территориальные органы Ростехнадзора заполняют указанную форму в целом по управлению, а также отдельно  по каждому субъекту Российской Федерации, на территории которого осуществляется надзор. </t>
  </si>
  <si>
    <t>1.        </t>
  </si>
  <si>
    <t xml:space="preserve">       по иным основаниям, предусмотренным законодательством Российской Федерации, (сумма строк 1.2.1-1.2.8, (ед.), в том числе:</t>
  </si>
  <si>
    <t xml:space="preserve">      количество юридических лиц, индивидуальных предпринимателей, в отношении которых в ходе проведения проверок, выявлены нарушения, (ед.).  </t>
  </si>
  <si>
    <t>Нижне-Волжское управление Ростехнадзора 12 месяцев 2018</t>
  </si>
  <si>
    <r>
      <t>_</t>
    </r>
    <r>
      <rPr>
        <b/>
        <sz val="12"/>
        <color theme="1"/>
        <rFont val="Times New Roman"/>
        <family val="1"/>
        <charset val="204"/>
      </rPr>
      <t xml:space="preserve">___Волгоградская область_____________ за 12 месяцев 2018г.  </t>
    </r>
    <r>
      <rPr>
        <sz val="12"/>
        <color theme="1"/>
        <rFont val="Times New Roman"/>
        <family val="1"/>
        <charset val="204"/>
      </rPr>
      <t xml:space="preserve"> </t>
    </r>
  </si>
  <si>
    <t xml:space="preserve">___Саратовская область_____________ за 12 месяев 2018г. </t>
  </si>
  <si>
    <t xml:space="preserve">Астраханская область_____________ за 12 месяцев 2018г.  </t>
  </si>
  <si>
    <t xml:space="preserve">Республика Калмыкия_____ за 12 месяцев 2018г.  </t>
  </si>
  <si>
    <t xml:space="preserve">Пензенская область_____________ за 12 месяцев 2018г.  </t>
  </si>
  <si>
    <t>ё</t>
  </si>
  <si>
    <t>4 сро</t>
  </si>
  <si>
    <t>2сро</t>
  </si>
  <si>
    <t xml:space="preserve">плюс 6 сро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</si>
</sst>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trike/>
      <sz val="9"/>
      <color rgb="FFFF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4" borderId="0" xfId="0" applyFill="1"/>
    <xf numFmtId="0" fontId="16" fillId="3" borderId="5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6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8" fillId="5" borderId="0" xfId="0" applyFont="1" applyFill="1"/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1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3"/>
  <sheetViews>
    <sheetView tabSelected="1" zoomScaleNormal="100" workbookViewId="0">
      <selection activeCell="I14" sqref="I14"/>
    </sheetView>
  </sheetViews>
  <sheetFormatPr defaultRowHeight="15" x14ac:dyDescent="0.25"/>
  <cols>
    <col min="1" max="1" width="6.85546875" customWidth="1"/>
    <col min="2" max="2" width="64.5703125" customWidth="1"/>
    <col min="3" max="3" width="13.85546875" customWidth="1"/>
    <col min="4" max="4" width="10.7109375" customWidth="1"/>
    <col min="5" max="5" width="9" customWidth="1"/>
    <col min="6" max="8" width="9.140625" customWidth="1"/>
  </cols>
  <sheetData>
    <row r="1" spans="1:8" ht="15.75" x14ac:dyDescent="0.25">
      <c r="A1" s="66" t="s">
        <v>0</v>
      </c>
      <c r="B1" s="66"/>
      <c r="C1" s="66"/>
      <c r="D1" s="66"/>
      <c r="E1" s="66"/>
    </row>
    <row r="2" spans="1:8" ht="15.75" x14ac:dyDescent="0.25">
      <c r="A2" s="32"/>
    </row>
    <row r="3" spans="1:8" ht="31.5" customHeight="1" x14ac:dyDescent="0.25">
      <c r="A3" s="67" t="s">
        <v>1</v>
      </c>
      <c r="B3" s="67"/>
      <c r="C3" s="67"/>
      <c r="D3" s="67"/>
      <c r="E3" s="67"/>
    </row>
    <row r="4" spans="1:8" ht="15.75" x14ac:dyDescent="0.25">
      <c r="A4" s="68" t="s">
        <v>503</v>
      </c>
      <c r="B4" s="68"/>
      <c r="C4" s="68"/>
      <c r="D4" s="68"/>
      <c r="E4" s="68"/>
    </row>
    <row r="5" spans="1:8" ht="18.75" x14ac:dyDescent="0.25">
      <c r="A5" s="69" t="s">
        <v>2</v>
      </c>
      <c r="B5" s="69"/>
      <c r="C5" s="2" t="s">
        <v>3</v>
      </c>
    </row>
    <row r="6" spans="1:8" ht="16.5" thickBot="1" x14ac:dyDescent="0.3">
      <c r="A6" s="32"/>
    </row>
    <row r="7" spans="1:8" ht="15.75" thickBot="1" x14ac:dyDescent="0.3">
      <c r="A7" s="70" t="s">
        <v>4</v>
      </c>
      <c r="B7" s="3" t="s">
        <v>5</v>
      </c>
      <c r="C7" s="72" t="s">
        <v>6</v>
      </c>
      <c r="D7" s="74" t="s">
        <v>7</v>
      </c>
      <c r="E7" s="75"/>
    </row>
    <row r="8" spans="1:8" ht="15.75" thickBot="1" x14ac:dyDescent="0.3">
      <c r="A8" s="71"/>
      <c r="B8" s="4" t="s">
        <v>5</v>
      </c>
      <c r="C8" s="73"/>
      <c r="D8" s="4" t="s">
        <v>8</v>
      </c>
      <c r="E8" s="4" t="s">
        <v>9</v>
      </c>
    </row>
    <row r="9" spans="1:8" ht="15.75" thickBot="1" x14ac:dyDescent="0.3">
      <c r="A9" s="36">
        <v>1</v>
      </c>
      <c r="B9" s="6">
        <v>2</v>
      </c>
      <c r="C9" s="6">
        <v>3</v>
      </c>
      <c r="D9" s="6">
        <v>4</v>
      </c>
      <c r="E9" s="6">
        <v>5</v>
      </c>
    </row>
    <row r="10" spans="1:8" ht="36.75" thickBot="1" x14ac:dyDescent="0.3">
      <c r="A10" s="7" t="s">
        <v>10</v>
      </c>
      <c r="B10" s="23" t="s">
        <v>11</v>
      </c>
      <c r="C10" s="11">
        <f>SUM(Волгоград!C10,Саратов!C10,Астрахань!C10,РК!C10,Пенза!C10)</f>
        <v>421</v>
      </c>
      <c r="D10" s="11">
        <f>SUM(Волгоград!D10,Саратов!D10,Астрахань!D10,РК!D10,Пенза!D10)</f>
        <v>287</v>
      </c>
      <c r="E10" s="11">
        <f>SUM(Волгоград!E10,Саратов!E10,Астрахань!E10,РК!E10,Пенза!E10)</f>
        <v>134</v>
      </c>
      <c r="G10" s="89">
        <f>C10</f>
        <v>421</v>
      </c>
      <c r="H10" s="89">
        <f>C25+C30</f>
        <v>421</v>
      </c>
    </row>
    <row r="11" spans="1:8" ht="15.75" thickBot="1" x14ac:dyDescent="0.3">
      <c r="A11" s="8" t="s">
        <v>12</v>
      </c>
      <c r="B11" s="24" t="s">
        <v>13</v>
      </c>
      <c r="C11" s="9">
        <f>SUM(Волгоград!C11,Саратов!C11,Астрахань!C11,РК!C11,Пенза!C11)</f>
        <v>152</v>
      </c>
      <c r="D11" s="9">
        <f>SUM(Волгоград!D11,Саратов!D11,Астрахань!D11,РК!D11,Пенза!D11)</f>
        <v>97</v>
      </c>
      <c r="E11" s="9">
        <f>SUM(Волгоград!E11,Саратов!E11,Астрахань!E11,РК!E11,Пенза!E11)</f>
        <v>55</v>
      </c>
      <c r="G11" s="89">
        <f>C11</f>
        <v>152</v>
      </c>
      <c r="H11" s="89">
        <f>C26+C31</f>
        <v>152</v>
      </c>
    </row>
    <row r="12" spans="1:8" ht="24.75" thickBot="1" x14ac:dyDescent="0.3">
      <c r="A12" s="10" t="s">
        <v>14</v>
      </c>
      <c r="B12" s="25" t="s">
        <v>15</v>
      </c>
      <c r="C12" s="6">
        <f>SUM(Волгоград!C12,Саратов!C12,Астрахань!C12,РК!C12,Пенза!C12)</f>
        <v>269</v>
      </c>
      <c r="D12" s="6">
        <f>SUM(Волгоград!D12,Саратов!D12,Астрахань!D12,РК!D12,Пенза!D12)</f>
        <v>190</v>
      </c>
      <c r="E12" s="6">
        <f>SUM(Волгоград!E12,Саратов!E12,Астрахань!E12,РК!E12,Пенза!E12)</f>
        <v>79</v>
      </c>
    </row>
    <row r="13" spans="1:8" ht="24.75" thickBot="1" x14ac:dyDescent="0.3">
      <c r="A13" s="8" t="s">
        <v>16</v>
      </c>
      <c r="B13" s="24" t="s">
        <v>17</v>
      </c>
      <c r="C13" s="9">
        <f>SUM(Волгоград!C13,Саратов!C13,Астрахань!C13,РК!C13,Пенза!C13)</f>
        <v>15</v>
      </c>
      <c r="D13" s="9">
        <f>SUM(Волгоград!D13,Саратов!D13,Астрахань!D13,РК!D13,Пенза!D13)</f>
        <v>7</v>
      </c>
      <c r="E13" s="9">
        <f>SUM(Волгоград!E13,Саратов!E13,Астрахань!E13,РК!E13,Пенза!E13)</f>
        <v>8</v>
      </c>
    </row>
    <row r="14" spans="1:8" ht="24.75" thickBot="1" x14ac:dyDescent="0.3">
      <c r="A14" s="8" t="s">
        <v>18</v>
      </c>
      <c r="B14" s="24" t="s">
        <v>19</v>
      </c>
      <c r="C14" s="9">
        <f>SUM(Волгоград!C14,Саратов!C14,Астрахань!C14,РК!C14,Пенза!C14)</f>
        <v>0</v>
      </c>
      <c r="D14" s="9">
        <f>SUM(Волгоград!D14,Саратов!D14,Астрахань!D14,РК!D14,Пенза!D14)</f>
        <v>0</v>
      </c>
      <c r="E14" s="9">
        <f>SUM(Волгоград!E14,Саратов!E14,Астрахань!E14,РК!E14,Пенза!E14)</f>
        <v>0</v>
      </c>
    </row>
    <row r="15" spans="1:8" ht="24.75" thickBot="1" x14ac:dyDescent="0.3">
      <c r="A15" s="8" t="s">
        <v>20</v>
      </c>
      <c r="B15" s="24" t="s">
        <v>21</v>
      </c>
      <c r="C15" s="9">
        <f>SUM(Волгоград!C15,Саратов!C15,Астрахань!C15,РК!C15,Пенза!C15)</f>
        <v>0</v>
      </c>
      <c r="D15" s="9">
        <f>SUM(Волгоград!D15,Саратов!D15,Астрахань!D15,РК!D15,Пенза!D15)</f>
        <v>0</v>
      </c>
      <c r="E15" s="9">
        <f>SUM(Волгоград!E15,Саратов!E15,Астрахань!E15,РК!E15,Пенза!E15)</f>
        <v>0</v>
      </c>
    </row>
    <row r="16" spans="1:8" ht="24.75" thickBot="1" x14ac:dyDescent="0.3">
      <c r="A16" s="8" t="s">
        <v>22</v>
      </c>
      <c r="B16" s="24" t="s">
        <v>23</v>
      </c>
      <c r="C16" s="9">
        <f>SUM(Волгоград!C16,Саратов!C16,Астрахань!C16,РК!C16,Пенза!C16)</f>
        <v>184</v>
      </c>
      <c r="D16" s="9">
        <f>SUM(Волгоград!D16,Саратов!D16,Астрахань!D16,РК!D16,Пенза!D16)</f>
        <v>131</v>
      </c>
      <c r="E16" s="9">
        <f>SUM(Волгоград!E16,Саратов!E16,Астрахань!E16,РК!E16,Пенза!E16)</f>
        <v>53</v>
      </c>
    </row>
    <row r="17" spans="1:5" ht="24.75" thickBot="1" x14ac:dyDescent="0.3">
      <c r="A17" s="8" t="s">
        <v>24</v>
      </c>
      <c r="B17" s="24" t="s">
        <v>25</v>
      </c>
      <c r="C17" s="9">
        <f>SUM(Волгоград!C17,Саратов!C17,Астрахань!C17,РК!C17,Пенза!C17)</f>
        <v>65</v>
      </c>
      <c r="D17" s="9">
        <f>SUM(Волгоград!D17,Саратов!D17,Астрахань!D17,РК!D17,Пенза!D17)</f>
        <v>48</v>
      </c>
      <c r="E17" s="9">
        <f>SUM(Волгоград!E17,Саратов!E17,Астрахань!E17,РК!E17,Пенза!E17)</f>
        <v>17</v>
      </c>
    </row>
    <row r="18" spans="1:5" ht="24.75" thickBot="1" x14ac:dyDescent="0.3">
      <c r="A18" s="10" t="s">
        <v>26</v>
      </c>
      <c r="B18" s="24" t="s">
        <v>27</v>
      </c>
      <c r="C18" s="6">
        <f>SUM(Волгоград!C18,Саратов!C18,Астрахань!C18,РК!C18,Пенза!C18)</f>
        <v>1</v>
      </c>
      <c r="D18" s="6">
        <f>SUM(Волгоград!D18,Саратов!D18,Астрахань!D18,РК!D18,Пенза!D18)</f>
        <v>1</v>
      </c>
      <c r="E18" s="6">
        <f>SUM(Волгоград!E18,Саратов!E18,Астрахань!E18,РК!E18,Пенза!E18)</f>
        <v>0</v>
      </c>
    </row>
    <row r="19" spans="1:5" ht="36.75" thickBot="1" x14ac:dyDescent="0.3">
      <c r="A19" s="10" t="s">
        <v>28</v>
      </c>
      <c r="B19" s="24" t="s">
        <v>29</v>
      </c>
      <c r="C19" s="6">
        <f>SUM(Волгоград!C19,Саратов!C19,Астрахань!C19,РК!C19,Пенза!C19)</f>
        <v>0</v>
      </c>
      <c r="D19" s="6">
        <f>SUM(Волгоград!D19,Саратов!D19,Астрахань!D19,РК!D19,Пенза!D19)</f>
        <v>0</v>
      </c>
      <c r="E19" s="6">
        <f>SUM(Волгоград!E19,Саратов!E19,Астрахань!E19,РК!E19,Пенза!E19)</f>
        <v>0</v>
      </c>
    </row>
    <row r="20" spans="1:5" ht="24.75" thickBot="1" x14ac:dyDescent="0.3">
      <c r="A20" s="24" t="s">
        <v>30</v>
      </c>
      <c r="B20" s="24" t="s">
        <v>491</v>
      </c>
      <c r="C20" s="37">
        <f>SUM(Волгоград!C20,Саратов!C20,Астрахань!C20,РК!C20,Пенза!C20)</f>
        <v>1</v>
      </c>
      <c r="D20" s="37">
        <f>SUM(Волгоград!D20,Саратов!D20,Астрахань!D20,РК!D20,Пенза!D20)</f>
        <v>1</v>
      </c>
      <c r="E20" s="37">
        <f>SUM(Волгоград!E20,Саратов!E20,Астрахань!E20,РК!E20,Пенза!E20)</f>
        <v>0</v>
      </c>
    </row>
    <row r="21" spans="1:5" ht="36.75" thickBot="1" x14ac:dyDescent="0.3">
      <c r="A21" s="10" t="s">
        <v>31</v>
      </c>
      <c r="B21" s="26" t="s">
        <v>32</v>
      </c>
      <c r="C21" s="6">
        <f>SUM(Волгоград!C21,Саратов!C21,Астрахань!C21,РК!C21,Пенза!C21)</f>
        <v>3</v>
      </c>
      <c r="D21" s="6">
        <f>SUM(Волгоград!D21,Саратов!D21,Астрахань!D21,РК!D21,Пенза!D21)</f>
        <v>2</v>
      </c>
      <c r="E21" s="6">
        <f>SUM(Волгоград!E21,Саратов!E21,Астрахань!E21,РК!E21,Пенза!E21)</f>
        <v>1</v>
      </c>
    </row>
    <row r="22" spans="1:5" ht="24.75" thickBot="1" x14ac:dyDescent="0.3">
      <c r="A22" s="8" t="s">
        <v>33</v>
      </c>
      <c r="B22" s="24" t="s">
        <v>34</v>
      </c>
      <c r="C22" s="9">
        <f>SUM(Волгоград!C22,Саратов!C22,Астрахань!C22,РК!C22,Пенза!C22)</f>
        <v>0</v>
      </c>
      <c r="D22" s="9">
        <f>SUM(Волгоград!D22,Саратов!D22,Астрахань!D22,РК!D22,Пенза!D22)</f>
        <v>0</v>
      </c>
      <c r="E22" s="9">
        <f>SUM(Волгоград!E22,Саратов!E22,Астрахань!E22,РК!E22,Пенза!E22)</f>
        <v>0</v>
      </c>
    </row>
    <row r="23" spans="1:5" ht="15.75" thickBot="1" x14ac:dyDescent="0.3">
      <c r="A23" s="10" t="s">
        <v>35</v>
      </c>
      <c r="B23" s="26" t="s">
        <v>36</v>
      </c>
      <c r="C23" s="6">
        <f>SUM(Волгоград!C23,Саратов!C23,Астрахань!C23,РК!C23,Пенза!C23)</f>
        <v>0</v>
      </c>
      <c r="D23" s="6">
        <f>SUM(Волгоград!D23,Саратов!D23,Астрахань!D23,РК!D23,Пенза!D23)</f>
        <v>0</v>
      </c>
      <c r="E23" s="6">
        <f>SUM(Волгоград!E23,Саратов!E23,Астрахань!E23,РК!E23,Пенза!E23)</f>
        <v>0</v>
      </c>
    </row>
    <row r="24" spans="1:5" ht="24.75" thickBot="1" x14ac:dyDescent="0.3">
      <c r="A24" s="10" t="s">
        <v>37</v>
      </c>
      <c r="B24" s="26" t="s">
        <v>38</v>
      </c>
      <c r="C24" s="6">
        <f>SUM(Волгоград!C24,Саратов!C24,Астрахань!C24,РК!C24,Пенза!C24)</f>
        <v>0</v>
      </c>
      <c r="D24" s="6">
        <f>SUM(Волгоград!D24,Саратов!D24,Астрахань!D24,РК!D24,Пенза!D24)</f>
        <v>0</v>
      </c>
      <c r="E24" s="6">
        <f>SUM(Волгоград!E24,Саратов!E24,Астрахань!E24,РК!E24,Пенза!E24)</f>
        <v>0</v>
      </c>
    </row>
    <row r="25" spans="1:5" ht="24.75" thickBot="1" x14ac:dyDescent="0.3">
      <c r="A25" s="7" t="s">
        <v>39</v>
      </c>
      <c r="B25" s="23" t="s">
        <v>40</v>
      </c>
      <c r="C25" s="11">
        <f>SUM(Волгоград!C25,Саратов!C25,Астрахань!C25,РК!C25,Пенза!C25)</f>
        <v>219</v>
      </c>
      <c r="D25" s="11">
        <f>SUM(Волгоград!D25,Саратов!D25,Астрахань!D25,РК!D25,Пенза!D25)</f>
        <v>150</v>
      </c>
      <c r="E25" s="11">
        <f>SUM(Волгоград!E25,Саратов!E25,Астрахань!E25,РК!E25,Пенза!E25)</f>
        <v>69</v>
      </c>
    </row>
    <row r="26" spans="1:5" ht="15.75" thickBot="1" x14ac:dyDescent="0.3">
      <c r="A26" s="10" t="s">
        <v>41</v>
      </c>
      <c r="B26" s="26" t="s">
        <v>42</v>
      </c>
      <c r="C26" s="6">
        <f>SUM(Волгоград!C26,Саратов!C26,Астрахань!C26,РК!C26,Пенза!C26)</f>
        <v>31</v>
      </c>
      <c r="D26" s="6">
        <f>SUM(Волгоград!D26,Саратов!D26,Астрахань!D26,РК!D26,Пенза!D26)</f>
        <v>17</v>
      </c>
      <c r="E26" s="6">
        <f>SUM(Волгоград!E26,Саратов!E26,Астрахань!E26,РК!E26,Пенза!E26)</f>
        <v>14</v>
      </c>
    </row>
    <row r="27" spans="1:5" ht="24.75" thickBot="1" x14ac:dyDescent="0.3">
      <c r="A27" s="10" t="s">
        <v>43</v>
      </c>
      <c r="B27" s="26" t="s">
        <v>44</v>
      </c>
      <c r="C27" s="6">
        <f>SUM(Волгоград!C27,Саратов!C27,Астрахань!C27,РК!C27,Пенза!C27)</f>
        <v>188</v>
      </c>
      <c r="D27" s="6">
        <f>SUM(Волгоград!D27,Саратов!D27,Астрахань!D27,РК!D27,Пенза!D27)</f>
        <v>133</v>
      </c>
      <c r="E27" s="6">
        <f>SUM(Волгоград!E27,Саратов!E27,Астрахань!E27,РК!E27,Пенза!E27)</f>
        <v>55</v>
      </c>
    </row>
    <row r="28" spans="1:5" ht="36.75" thickBot="1" x14ac:dyDescent="0.3">
      <c r="A28" s="10" t="s">
        <v>45</v>
      </c>
      <c r="B28" s="26" t="s">
        <v>46</v>
      </c>
      <c r="C28" s="6">
        <f>SUM(Волгоград!C28,Саратов!C28,Астрахань!C28,РК!C28,Пенза!C28)</f>
        <v>128</v>
      </c>
      <c r="D28" s="6">
        <f>SUM(Волгоград!D28,Саратов!D28,Астрахань!D28,РК!D28,Пенза!D28)</f>
        <v>91</v>
      </c>
      <c r="E28" s="6">
        <f>SUM(Волгоград!E28,Саратов!E28,Астрахань!E28,РК!E28,Пенза!E28)</f>
        <v>37</v>
      </c>
    </row>
    <row r="29" spans="1:5" ht="15.75" thickBot="1" x14ac:dyDescent="0.3">
      <c r="A29" s="10" t="s">
        <v>47</v>
      </c>
      <c r="B29" s="26" t="s">
        <v>48</v>
      </c>
      <c r="C29" s="6">
        <f>SUM(Волгоград!C29,Саратов!C29,Астрахань!C29,РК!C29,Пенза!C29)</f>
        <v>46</v>
      </c>
      <c r="D29" s="6">
        <f>SUM(Волгоград!D29,Саратов!D29,Астрахань!D29,РК!D29,Пенза!D29)</f>
        <v>35</v>
      </c>
      <c r="E29" s="6">
        <f>SUM(Волгоград!E29,Саратов!E29,Астрахань!E29,РК!E29,Пенза!E29)</f>
        <v>11</v>
      </c>
    </row>
    <row r="30" spans="1:5" ht="24.75" thickBot="1" x14ac:dyDescent="0.3">
      <c r="A30" s="7" t="s">
        <v>49</v>
      </c>
      <c r="B30" s="23" t="s">
        <v>50</v>
      </c>
      <c r="C30" s="11">
        <f>SUM(Волгоград!C30,Саратов!C30,Астрахань!C30,РК!C30,Пенза!C30)</f>
        <v>202</v>
      </c>
      <c r="D30" s="11">
        <f>SUM(Волгоград!D30,Саратов!D30,Астрахань!D30,РК!D30,Пенза!D30)</f>
        <v>137</v>
      </c>
      <c r="E30" s="11">
        <f>SUM(Волгоград!E30,Саратов!E30,Астрахань!E30,РК!E30,Пенза!E30)</f>
        <v>65</v>
      </c>
    </row>
    <row r="31" spans="1:5" ht="15.75" thickBot="1" x14ac:dyDescent="0.3">
      <c r="A31" s="12" t="s">
        <v>51</v>
      </c>
      <c r="B31" s="26" t="s">
        <v>52</v>
      </c>
      <c r="C31" s="6">
        <f>SUM(Волгоград!C31,Саратов!C31,Астрахань!C31,РК!C31,Пенза!C31)</f>
        <v>121</v>
      </c>
      <c r="D31" s="6">
        <f>SUM(Волгоград!D31,Саратов!D31,Астрахань!D31,РК!D31,Пенза!D31)</f>
        <v>80</v>
      </c>
      <c r="E31" s="6">
        <f>SUM(Волгоград!E31,Саратов!E31,Астрахань!E31,РК!E31,Пенза!E31)</f>
        <v>41</v>
      </c>
    </row>
    <row r="32" spans="1:5" ht="24.75" thickBot="1" x14ac:dyDescent="0.3">
      <c r="A32" s="12" t="s">
        <v>53</v>
      </c>
      <c r="B32" s="26" t="s">
        <v>54</v>
      </c>
      <c r="C32" s="6">
        <f>SUM(Волгоград!C32,Саратов!C32,Астрахань!C32,РК!C32,Пенза!C32)</f>
        <v>81</v>
      </c>
      <c r="D32" s="6">
        <f>SUM(Волгоград!D32,Саратов!D32,Астрахань!D32,РК!D32,Пенза!D32)</f>
        <v>57</v>
      </c>
      <c r="E32" s="6">
        <f>SUM(Волгоград!E32,Саратов!E32,Астрахань!E32,РК!E32,Пенза!E32)</f>
        <v>24</v>
      </c>
    </row>
    <row r="33" spans="1:5" ht="48.75" thickBot="1" x14ac:dyDescent="0.3">
      <c r="A33" s="12" t="s">
        <v>55</v>
      </c>
      <c r="B33" s="26" t="s">
        <v>56</v>
      </c>
      <c r="C33" s="6">
        <f>SUM(Волгоград!C33,Саратов!C33,Астрахань!C33,РК!C33,Пенза!C33)</f>
        <v>56</v>
      </c>
      <c r="D33" s="6">
        <f>SUM(Волгоград!D33,Саратов!D33,Астрахань!D33,РК!D33,Пенза!D33)</f>
        <v>40</v>
      </c>
      <c r="E33" s="6">
        <f>SUM(Волгоград!E33,Саратов!E33,Астрахань!E33,РК!E33,Пенза!E33)</f>
        <v>16</v>
      </c>
    </row>
    <row r="34" spans="1:5" ht="15.75" thickBot="1" x14ac:dyDescent="0.3">
      <c r="A34" s="12" t="s">
        <v>57</v>
      </c>
      <c r="B34" s="26" t="s">
        <v>58</v>
      </c>
      <c r="C34" s="6">
        <f>SUM(Волгоград!C34,Саратов!C34,Астрахань!C34,РК!C34,Пенза!C34)</f>
        <v>19</v>
      </c>
      <c r="D34" s="6">
        <f>SUM(Волгоград!D34,Саратов!D34,Астрахань!D34,РК!D34,Пенза!D34)</f>
        <v>13</v>
      </c>
      <c r="E34" s="6">
        <f>SUM(Волгоград!E34,Саратов!E34,Астрахань!E34,РК!E34,Пенза!E34)</f>
        <v>6</v>
      </c>
    </row>
    <row r="35" spans="1:5" ht="72.75" thickBot="1" x14ac:dyDescent="0.3">
      <c r="A35" s="12" t="s">
        <v>59</v>
      </c>
      <c r="B35" s="26" t="s">
        <v>60</v>
      </c>
      <c r="C35" s="6">
        <f>SUM(Волгоград!C35,Саратов!C35,Астрахань!C35,РК!C35,Пенза!C35)</f>
        <v>0</v>
      </c>
      <c r="D35" s="6">
        <f>SUM(Волгоград!D35,Саратов!D35,Астрахань!D35,РК!D35,Пенза!D35)</f>
        <v>0</v>
      </c>
      <c r="E35" s="6">
        <f>SUM(Волгоград!E35,Саратов!E35,Астрахань!E35,РК!E35,Пенза!E35)</f>
        <v>0</v>
      </c>
    </row>
    <row r="36" spans="1:5" ht="15.75" thickBot="1" x14ac:dyDescent="0.3">
      <c r="A36" s="12" t="s">
        <v>61</v>
      </c>
      <c r="B36" s="26" t="s">
        <v>62</v>
      </c>
      <c r="C36" s="6">
        <f>SUM(Волгоград!C36,Саратов!C36,Астрахань!C36,РК!C36,Пенза!C36)</f>
        <v>0</v>
      </c>
      <c r="D36" s="6">
        <f>SUM(Волгоград!D36,Саратов!D36,Астрахань!D36,РК!D36,Пенза!D36)</f>
        <v>0</v>
      </c>
      <c r="E36" s="6">
        <f>SUM(Волгоград!E36,Саратов!E36,Астрахань!E36,РК!E36,Пенза!E36)</f>
        <v>0</v>
      </c>
    </row>
    <row r="37" spans="1:5" ht="15.75" thickBot="1" x14ac:dyDescent="0.3">
      <c r="A37" s="12" t="s">
        <v>63</v>
      </c>
      <c r="B37" s="26" t="s">
        <v>64</v>
      </c>
      <c r="C37" s="6">
        <f>SUM(Волгоград!C37,Саратов!C37,Астрахань!C37,РК!C37,Пенза!C37)</f>
        <v>0</v>
      </c>
      <c r="D37" s="6">
        <f>SUM(Волгоград!D37,Саратов!D37,Астрахань!D37,РК!D37,Пенза!D37)</f>
        <v>0</v>
      </c>
      <c r="E37" s="6">
        <f>SUM(Волгоград!E37,Саратов!E37,Астрахань!E37,РК!E37,Пенза!E37)</f>
        <v>0</v>
      </c>
    </row>
    <row r="38" spans="1:5" ht="15.75" thickBot="1" x14ac:dyDescent="0.3">
      <c r="A38" s="12" t="s">
        <v>65</v>
      </c>
      <c r="B38" s="26" t="s">
        <v>66</v>
      </c>
      <c r="C38" s="6">
        <f>SUM(Волгоград!C38,Саратов!C38,Астрахань!C38,РК!C38,Пенза!C38)</f>
        <v>0</v>
      </c>
      <c r="D38" s="6">
        <f>SUM(Волгоград!D38,Саратов!D38,Астрахань!D38,РК!D38,Пенза!D38)</f>
        <v>0</v>
      </c>
      <c r="E38" s="6">
        <f>SUM(Волгоград!E38,Саратов!E38,Астрахань!E38,РК!E38,Пенза!E38)</f>
        <v>0</v>
      </c>
    </row>
    <row r="39" spans="1:5" ht="15.75" thickBot="1" x14ac:dyDescent="0.3">
      <c r="A39" s="12" t="s">
        <v>67</v>
      </c>
      <c r="B39" s="26" t="s">
        <v>68</v>
      </c>
      <c r="C39" s="6">
        <f>SUM(Волгоград!C39,Саратов!C39,Астрахань!C39,РК!C39,Пенза!C39)</f>
        <v>0</v>
      </c>
      <c r="D39" s="6">
        <f>SUM(Волгоград!D39,Саратов!D39,Астрахань!D39,РК!D39,Пенза!D39)</f>
        <v>0</v>
      </c>
      <c r="E39" s="6">
        <f>SUM(Волгоград!E39,Саратов!E39,Астрахань!E39,РК!E39,Пенза!E39)</f>
        <v>0</v>
      </c>
    </row>
    <row r="40" spans="1:5" ht="15.75" thickBot="1" x14ac:dyDescent="0.3">
      <c r="A40" s="12" t="s">
        <v>69</v>
      </c>
      <c r="B40" s="26" t="s">
        <v>70</v>
      </c>
      <c r="C40" s="6">
        <f>SUM(Волгоград!C40,Саратов!C40,Астрахань!C40,РК!C40,Пенза!C40)</f>
        <v>0</v>
      </c>
      <c r="D40" s="6">
        <f>SUM(Волгоград!D40,Саратов!D40,Астрахань!D40,РК!D40,Пенза!D40)</f>
        <v>0</v>
      </c>
      <c r="E40" s="6">
        <f>SUM(Волгоград!E40,Саратов!E40,Астрахань!E40,РК!E40,Пенза!E40)</f>
        <v>0</v>
      </c>
    </row>
    <row r="41" spans="1:5" ht="15.75" thickBot="1" x14ac:dyDescent="0.3">
      <c r="A41" s="13" t="s">
        <v>492</v>
      </c>
      <c r="B41" s="26" t="s">
        <v>71</v>
      </c>
      <c r="C41" s="6">
        <f>SUM(Волгоград!C41,Саратов!C41,Астрахань!C41,РК!C41,Пенза!C41)</f>
        <v>0</v>
      </c>
      <c r="D41" s="6">
        <f>SUM(Волгоград!D41,Саратов!D41,Астрахань!D41,РК!D41,Пенза!D41)</f>
        <v>0</v>
      </c>
      <c r="E41" s="6">
        <f>SUM(Волгоград!E41,Саратов!E41,Астрахань!E41,РК!E41,Пенза!E41)</f>
        <v>0</v>
      </c>
    </row>
    <row r="42" spans="1:5" ht="24.75" thickBot="1" x14ac:dyDescent="0.3">
      <c r="A42" s="12" t="s">
        <v>72</v>
      </c>
      <c r="B42" s="26" t="s">
        <v>73</v>
      </c>
      <c r="C42" s="6">
        <f>SUM(Волгоград!C42,Саратов!C42,Астрахань!C42,РК!C42,Пенза!C42)</f>
        <v>0</v>
      </c>
      <c r="D42" s="6">
        <f>SUM(Волгоград!D42,Саратов!D42,Астрахань!D42,РК!D42,Пенза!D42)</f>
        <v>0</v>
      </c>
      <c r="E42" s="6">
        <f>SUM(Волгоград!E42,Саратов!E42,Астрахань!E42,РК!E42,Пенза!E42)</f>
        <v>0</v>
      </c>
    </row>
    <row r="43" spans="1:5" ht="24.75" thickBot="1" x14ac:dyDescent="0.3">
      <c r="A43" s="7" t="s">
        <v>74</v>
      </c>
      <c r="B43" s="23" t="s">
        <v>75</v>
      </c>
      <c r="C43" s="11">
        <f>SUM(Волгоград!C43,Саратов!C43,Астрахань!C43,РК!C43,Пенза!C43)</f>
        <v>0</v>
      </c>
      <c r="D43" s="11">
        <f>SUM(Волгоград!D43,Саратов!D43,Астрахань!D43,РК!D43,Пенза!D43)</f>
        <v>0</v>
      </c>
      <c r="E43" s="11">
        <f>SUM(Волгоград!E43,Саратов!E43,Астрахань!E43,РК!E43,Пенза!E43)</f>
        <v>0</v>
      </c>
    </row>
    <row r="44" spans="1:5" ht="24.75" thickBot="1" x14ac:dyDescent="0.3">
      <c r="A44" s="7" t="s">
        <v>76</v>
      </c>
      <c r="B44" s="23" t="s">
        <v>77</v>
      </c>
      <c r="C44" s="11">
        <f>SUM(Волгоград!C44,Саратов!C44,Астрахань!C44,РК!C44,Пенза!C44)</f>
        <v>3</v>
      </c>
      <c r="D44" s="11">
        <f>SUM(Волгоград!D44,Саратов!D44,Астрахань!D44,РК!D44,Пенза!D44)</f>
        <v>3</v>
      </c>
      <c r="E44" s="11">
        <f>SUM(Волгоград!E44,Саратов!E44,Астрахань!E44,РК!E44,Пенза!E44)</f>
        <v>0</v>
      </c>
    </row>
    <row r="45" spans="1:5" ht="24.75" thickBot="1" x14ac:dyDescent="0.3">
      <c r="A45" s="10" t="s">
        <v>78</v>
      </c>
      <c r="B45" s="26" t="s">
        <v>79</v>
      </c>
      <c r="C45" s="6">
        <f>SUM(Волгоград!C45,Саратов!C45,Астрахань!C45,РК!C45,Пенза!C45)</f>
        <v>0</v>
      </c>
      <c r="D45" s="6">
        <f>SUM(Волгоград!D45,Саратов!D45,Астрахань!D45,РК!D45,Пенза!D45)</f>
        <v>0</v>
      </c>
      <c r="E45" s="6">
        <f>SUM(Волгоград!E45,Саратов!E45,Астрахань!E45,РК!E45,Пенза!E45)</f>
        <v>0</v>
      </c>
    </row>
    <row r="46" spans="1:5" ht="15.75" thickBot="1" x14ac:dyDescent="0.3">
      <c r="A46" s="7" t="s">
        <v>80</v>
      </c>
      <c r="B46" s="23" t="s">
        <v>81</v>
      </c>
      <c r="C46" s="11">
        <f>SUM(Волгоград!C46,Саратов!C46,Астрахань!C46,РК!C46,Пенза!C46)</f>
        <v>0</v>
      </c>
      <c r="D46" s="11">
        <f>SUM(Волгоград!D46,Саратов!D46,Астрахань!D46,РК!D46,Пенза!D46)</f>
        <v>0</v>
      </c>
      <c r="E46" s="11">
        <f>SUM(Волгоград!E46,Саратов!E46,Астрахань!E46,РК!E46,Пенза!E46)</f>
        <v>0</v>
      </c>
    </row>
    <row r="47" spans="1:5" ht="15.75" thickBot="1" x14ac:dyDescent="0.3">
      <c r="A47" s="10" t="s">
        <v>82</v>
      </c>
      <c r="B47" s="26" t="s">
        <v>83</v>
      </c>
      <c r="C47" s="6">
        <f>SUM(Волгоград!C47,Саратов!C47,Астрахань!C47,РК!C47,Пенза!C47)</f>
        <v>0</v>
      </c>
      <c r="D47" s="6">
        <f>SUM(Волгоград!D47,Саратов!D47,Астрахань!D47,РК!D47,Пенза!D47)</f>
        <v>0</v>
      </c>
      <c r="E47" s="6">
        <f>SUM(Волгоград!E47,Саратов!E47,Астрахань!E47,РК!E47,Пенза!E47)</f>
        <v>0</v>
      </c>
    </row>
    <row r="48" spans="1:5" ht="15.75" thickBot="1" x14ac:dyDescent="0.3">
      <c r="A48" s="10" t="s">
        <v>84</v>
      </c>
      <c r="B48" s="26" t="s">
        <v>85</v>
      </c>
      <c r="C48" s="6">
        <f>SUM(Волгоград!C48,Саратов!C48,Астрахань!C48,РК!C48,Пенза!C48)</f>
        <v>0</v>
      </c>
      <c r="D48" s="6">
        <f>SUM(Волгоград!D48,Саратов!D48,Астрахань!D48,РК!D48,Пенза!D48)</f>
        <v>0</v>
      </c>
      <c r="E48" s="6">
        <f>SUM(Волгоград!E48,Саратов!E48,Астрахань!E48,РК!E48,Пенза!E48)</f>
        <v>0</v>
      </c>
    </row>
    <row r="49" spans="1:5" ht="15.75" thickBot="1" x14ac:dyDescent="0.3">
      <c r="A49" s="10" t="s">
        <v>86</v>
      </c>
      <c r="B49" s="26" t="s">
        <v>87</v>
      </c>
      <c r="C49" s="6">
        <f>SUM(Волгоград!C49,Саратов!C49,Астрахань!C49,РК!C49,Пенза!C49)</f>
        <v>0</v>
      </c>
      <c r="D49" s="6">
        <f>SUM(Волгоград!D49,Саратов!D49,Астрахань!D49,РК!D49,Пенза!D49)</f>
        <v>0</v>
      </c>
      <c r="E49" s="6">
        <f>SUM(Волгоград!E49,Саратов!E49,Астрахань!E49,РК!E49,Пенза!E49)</f>
        <v>0</v>
      </c>
    </row>
    <row r="50" spans="1:5" ht="48.75" thickBot="1" x14ac:dyDescent="0.3">
      <c r="A50" s="7" t="s">
        <v>88</v>
      </c>
      <c r="B50" s="23" t="s">
        <v>89</v>
      </c>
      <c r="C50" s="11">
        <f>SUM(Волгоград!C50,Саратов!C50,Астрахань!C50,РК!C50,Пенза!C50)</f>
        <v>0</v>
      </c>
      <c r="D50" s="11">
        <f>SUM(Волгоград!D50,Саратов!D50,Астрахань!D50,РК!D50,Пенза!D50)</f>
        <v>0</v>
      </c>
      <c r="E50" s="11">
        <f>SUM(Волгоград!E50,Саратов!E50,Астрахань!E50,РК!E50,Пенза!E50)</f>
        <v>0</v>
      </c>
    </row>
    <row r="51" spans="1:5" ht="15.75" thickBot="1" x14ac:dyDescent="0.3">
      <c r="A51" s="7" t="s">
        <v>90</v>
      </c>
      <c r="B51" s="23" t="s">
        <v>91</v>
      </c>
      <c r="C51" s="11">
        <f>SUM(Волгоград!C51,Саратов!C51,Астрахань!C51,РК!C51,Пенза!C51)</f>
        <v>0</v>
      </c>
      <c r="D51" s="11">
        <f>SUM(Волгоград!D51,Саратов!D51,Астрахань!D51,РК!D51,Пенза!D51)</f>
        <v>0</v>
      </c>
      <c r="E51" s="11">
        <f>SUM(Волгоград!E51,Саратов!E51,Астрахань!E51,РК!E51,Пенза!E51)</f>
        <v>0</v>
      </c>
    </row>
    <row r="52" spans="1:5" ht="24.75" thickBot="1" x14ac:dyDescent="0.3">
      <c r="A52" s="10" t="s">
        <v>92</v>
      </c>
      <c r="B52" s="26" t="s">
        <v>93</v>
      </c>
      <c r="C52" s="6">
        <f>SUM(Волгоград!C52,Саратов!C52,Астрахань!C52,РК!C52,Пенза!C52)</f>
        <v>0</v>
      </c>
      <c r="D52" s="6">
        <f>SUM(Волгоград!D52,Саратов!D52,Астрахань!D52,РК!D52,Пенза!D52)</f>
        <v>0</v>
      </c>
      <c r="E52" s="6">
        <f>SUM(Волгоград!E52,Саратов!E52,Астрахань!E52,РК!E52,Пенза!E52)</f>
        <v>0</v>
      </c>
    </row>
    <row r="53" spans="1:5" ht="15.75" thickBot="1" x14ac:dyDescent="0.3">
      <c r="A53" s="10" t="s">
        <v>94</v>
      </c>
      <c r="B53" s="26" t="s">
        <v>95</v>
      </c>
      <c r="C53" s="6">
        <f>SUM(Волгоград!C53,Саратов!C53,Астрахань!C53,РК!C53,Пенза!C53)</f>
        <v>0</v>
      </c>
      <c r="D53" s="6">
        <f>SUM(Волгоград!D53,Саратов!D53,Астрахань!D53,РК!D53,Пенза!D53)</f>
        <v>0</v>
      </c>
      <c r="E53" s="6">
        <f>SUM(Волгоград!E53,Саратов!E53,Астрахань!E53,РК!E53,Пенза!E53)</f>
        <v>0</v>
      </c>
    </row>
    <row r="54" spans="1:5" ht="15.75" thickBot="1" x14ac:dyDescent="0.3">
      <c r="A54" s="10" t="s">
        <v>96</v>
      </c>
      <c r="B54" s="26" t="s">
        <v>97</v>
      </c>
      <c r="C54" s="6">
        <f>SUM(Волгоград!C54,Саратов!C54,Астрахань!C54,РК!C54,Пенза!C54)</f>
        <v>0</v>
      </c>
      <c r="D54" s="6">
        <f>SUM(Волгоград!D54,Саратов!D54,Астрахань!D54,РК!D54,Пенза!D54)</f>
        <v>0</v>
      </c>
      <c r="E54" s="6">
        <f>SUM(Волгоград!E54,Саратов!E54,Астрахань!E54,РК!E54,Пенза!E54)</f>
        <v>0</v>
      </c>
    </row>
    <row r="55" spans="1:5" ht="15.75" thickBot="1" x14ac:dyDescent="0.3">
      <c r="A55" s="10" t="s">
        <v>98</v>
      </c>
      <c r="B55" s="26" t="s">
        <v>99</v>
      </c>
      <c r="C55" s="6">
        <f>SUM(Волгоград!C55,Саратов!C55,Астрахань!C55,РК!C55,Пенза!C55)</f>
        <v>0</v>
      </c>
      <c r="D55" s="6">
        <f>SUM(Волгоград!D55,Саратов!D55,Астрахань!D55,РК!D55,Пенза!D55)</f>
        <v>0</v>
      </c>
      <c r="E55" s="6">
        <f>SUM(Волгоград!E55,Саратов!E55,Астрахань!E55,РК!E55,Пенза!E55)</f>
        <v>0</v>
      </c>
    </row>
    <row r="56" spans="1:5" ht="15.75" thickBot="1" x14ac:dyDescent="0.3">
      <c r="A56" s="10" t="s">
        <v>100</v>
      </c>
      <c r="B56" s="26" t="s">
        <v>101</v>
      </c>
      <c r="C56" s="6">
        <f>SUM(Волгоград!C56,Саратов!C56,Астрахань!C56,РК!C56,Пенза!C56)</f>
        <v>0</v>
      </c>
      <c r="D56" s="6">
        <f>SUM(Волгоград!D56,Саратов!D56,Астрахань!D56,РК!D56,Пенза!D56)</f>
        <v>0</v>
      </c>
      <c r="E56" s="6">
        <f>SUM(Волгоград!E56,Саратов!E56,Астрахань!E56,РК!E56,Пенза!E56)</f>
        <v>0</v>
      </c>
    </row>
    <row r="57" spans="1:5" ht="24.75" thickBot="1" x14ac:dyDescent="0.3">
      <c r="A57" s="7" t="s">
        <v>102</v>
      </c>
      <c r="B57" s="27" t="s">
        <v>103</v>
      </c>
      <c r="C57" s="49">
        <f>SUM(Волгоград!C57,Саратов!C57,Астрахань!C57,РК!C57,Пенза!C57)</f>
        <v>5420</v>
      </c>
      <c r="D57" s="49">
        <f>SUM(Волгоград!D57,Саратов!D57,Астрахань!D57,РК!D57,Пенза!D57)</f>
        <v>3685</v>
      </c>
      <c r="E57" s="49">
        <f>SUM(Волгоград!E57,Саратов!E57,Астрахань!E57,РК!E57,Пенза!E57)</f>
        <v>1735</v>
      </c>
    </row>
    <row r="58" spans="1:5" ht="24.75" thickBot="1" x14ac:dyDescent="0.3">
      <c r="A58" s="7" t="s">
        <v>104</v>
      </c>
      <c r="B58" s="23" t="s">
        <v>105</v>
      </c>
      <c r="C58" s="11">
        <f>SUM(Волгоград!C58,Саратов!C58,Астрахань!C58,РК!C58,Пенза!C58)</f>
        <v>0</v>
      </c>
      <c r="D58" s="11">
        <f>SUM(Волгоград!D58,Саратов!D58,Астрахань!D58,РК!D58,Пенза!D58)</f>
        <v>0</v>
      </c>
      <c r="E58" s="11">
        <f>SUM(Волгоград!E58,Саратов!E58,Астрахань!E58,РК!E58,Пенза!E58)</f>
        <v>0</v>
      </c>
    </row>
    <row r="59" spans="1:5" ht="48.75" thickBot="1" x14ac:dyDescent="0.3">
      <c r="A59" s="7" t="s">
        <v>106</v>
      </c>
      <c r="B59" s="23" t="s">
        <v>107</v>
      </c>
      <c r="C59" s="11">
        <f>SUM(Волгоград!C59,Саратов!C59,Астрахань!C59,РК!C59,Пенза!C59)</f>
        <v>0</v>
      </c>
      <c r="D59" s="11">
        <f>SUM(Волгоград!D59,Саратов!D59,Астрахань!D59,РК!D59,Пенза!D59)</f>
        <v>0</v>
      </c>
      <c r="E59" s="11">
        <f>SUM(Волгоград!E59,Саратов!E59,Астрахань!E59,РК!E59,Пенза!E59)</f>
        <v>0</v>
      </c>
    </row>
    <row r="60" spans="1:5" ht="15.75" thickBot="1" x14ac:dyDescent="0.3">
      <c r="A60" s="7" t="s">
        <v>108</v>
      </c>
      <c r="B60" s="23" t="s">
        <v>109</v>
      </c>
      <c r="C60" s="11">
        <f>SUM(Волгоград!C60,Саратов!C60,Астрахань!C60,РК!C60,Пенза!C60)</f>
        <v>0</v>
      </c>
      <c r="D60" s="11">
        <f>SUM(Волгоград!D60,Саратов!D60,Астрахань!D60,РК!D60,Пенза!D60)</f>
        <v>0</v>
      </c>
      <c r="E60" s="40">
        <f>SUM(Волгоград!E60,Саратов!E60,Астрахань!E60,РК!E60,Пенза!E60)</f>
        <v>0</v>
      </c>
    </row>
    <row r="61" spans="1:5" ht="24.75" thickBot="1" x14ac:dyDescent="0.3">
      <c r="A61" s="35" t="s">
        <v>110</v>
      </c>
      <c r="B61" s="24" t="s">
        <v>111</v>
      </c>
      <c r="C61" s="6">
        <f>SUM(Волгоград!C61,Саратов!C61,Астрахань!C61,РК!C61,Пенза!C61)</f>
        <v>0</v>
      </c>
      <c r="D61" s="6">
        <f>SUM(Волгоград!D61,Саратов!D61,Астрахань!D61,РК!D61,Пенза!D61)</f>
        <v>0</v>
      </c>
      <c r="E61" s="6">
        <f>SUM(Волгоград!E61,Саратов!E61,Астрахань!E61,РК!E61,Пенза!E61)</f>
        <v>0</v>
      </c>
    </row>
    <row r="62" spans="1:5" ht="24.75" thickBot="1" x14ac:dyDescent="0.3">
      <c r="A62" s="35" t="s">
        <v>112</v>
      </c>
      <c r="B62" s="24" t="s">
        <v>113</v>
      </c>
      <c r="C62" s="6">
        <f>SUM(Волгоград!C62,Саратов!C62,Астрахань!C62,РК!C62,Пенза!C62)</f>
        <v>0</v>
      </c>
      <c r="D62" s="6">
        <f>SUM(Волгоград!D62,Саратов!D62,Астрахань!D62,РК!D62,Пенза!D62)</f>
        <v>0</v>
      </c>
      <c r="E62" s="6">
        <f>SUM(Волгоград!E62,Саратов!E62,Астрахань!E62,РК!E62,Пенза!E62)</f>
        <v>0</v>
      </c>
    </row>
    <row r="63" spans="1:5" ht="24.75" thickBot="1" x14ac:dyDescent="0.3">
      <c r="A63" s="7" t="s">
        <v>114</v>
      </c>
      <c r="B63" s="23" t="s">
        <v>115</v>
      </c>
      <c r="C63" s="11">
        <f>SUM(Волгоград!C63,Саратов!C63,Астрахань!C63,РК!C63,Пенза!C63)</f>
        <v>0</v>
      </c>
      <c r="D63" s="11">
        <f>SUM(Волгоград!D63,Саратов!D63,Астрахань!D63,РК!D63,Пенза!D63)</f>
        <v>0</v>
      </c>
      <c r="E63" s="11">
        <f>SUM(Волгоград!E63,Саратов!E63,Астрахань!E63,РК!E63,Пенза!E63)</f>
        <v>0</v>
      </c>
    </row>
    <row r="64" spans="1:5" ht="24.75" thickBot="1" x14ac:dyDescent="0.3">
      <c r="A64" s="7" t="s">
        <v>116</v>
      </c>
      <c r="B64" s="23" t="s">
        <v>117</v>
      </c>
      <c r="C64" s="11">
        <f>SUM(Волгоград!C64,Саратов!C64,Астрахань!C64,РК!C64,Пенза!C64)</f>
        <v>0</v>
      </c>
      <c r="D64" s="11">
        <f>SUM(Волгоград!D64,Саратов!D64,Астрахань!D64,РК!D64,Пенза!D64)</f>
        <v>0</v>
      </c>
      <c r="E64" s="11">
        <f>SUM(Волгоград!E64,Саратов!E64,Астрахань!E64,РК!E64,Пенза!E64)</f>
        <v>0</v>
      </c>
    </row>
    <row r="65" spans="1:9" ht="36.75" thickBot="1" x14ac:dyDescent="0.3">
      <c r="A65" s="7" t="s">
        <v>118</v>
      </c>
      <c r="B65" s="23" t="s">
        <v>119</v>
      </c>
      <c r="C65" s="49">
        <f>SUM(Волгоград!C65,Саратов!C65,Астрахань!C65,РК!C65,Пенза!C65)</f>
        <v>0</v>
      </c>
      <c r="D65" s="49">
        <f>SUM(Волгоград!D65,Саратов!D65,Астрахань!D65,РК!D65,Пенза!D65)</f>
        <v>0</v>
      </c>
      <c r="E65" s="49">
        <f>SUM(Волгоград!E65,Саратов!E65,Астрахань!E65,РК!E65,Пенза!E65)</f>
        <v>0</v>
      </c>
    </row>
    <row r="66" spans="1:9" ht="36.75" thickBot="1" x14ac:dyDescent="0.3">
      <c r="A66" s="7" t="s">
        <v>120</v>
      </c>
      <c r="B66" s="23" t="s">
        <v>121</v>
      </c>
      <c r="C66" s="49">
        <f>SUM(Волгоград!C66,Саратов!C66,Астрахань!C66,РК!C66,Пенза!C66)</f>
        <v>0</v>
      </c>
      <c r="D66" s="49">
        <f>SUM(Волгоград!D66,Саратов!D66,Астрахань!D66,РК!D66,Пенза!D66)</f>
        <v>0</v>
      </c>
      <c r="E66" s="49">
        <f>SUM(Волгоград!E66,Саратов!E66,Астрахань!E66,РК!E66,Пенза!E66)</f>
        <v>0</v>
      </c>
    </row>
    <row r="67" spans="1:9" ht="36.75" thickBot="1" x14ac:dyDescent="0.3">
      <c r="A67" s="7" t="s">
        <v>122</v>
      </c>
      <c r="B67" s="23" t="s">
        <v>123</v>
      </c>
      <c r="C67" s="49">
        <f>SUM(Волгоград!C67,Саратов!C67,Астрахань!C67,РК!C67,Пенза!C67)</f>
        <v>0</v>
      </c>
      <c r="D67" s="49">
        <f>SUM(Волгоград!D67,Саратов!D67,Астрахань!D67,РК!D67,Пенза!D67)</f>
        <v>0</v>
      </c>
      <c r="E67" s="49">
        <f>SUM(Волгоград!E67,Саратов!E67,Астрахань!E67,РК!E67,Пенза!E67)</f>
        <v>0</v>
      </c>
    </row>
    <row r="68" spans="1:9" ht="15.75" thickBot="1" x14ac:dyDescent="0.3">
      <c r="A68" s="10" t="s">
        <v>124</v>
      </c>
      <c r="B68" s="26" t="s">
        <v>125</v>
      </c>
      <c r="C68" s="6">
        <f>SUM(Волгоград!C68,Саратов!C68,Астрахань!C68,РК!C68,Пенза!C68)</f>
        <v>0</v>
      </c>
      <c r="D68" s="6">
        <f>SUM(Волгоград!D68,Саратов!D68,Астрахань!D68,РК!D68,Пенза!D68)</f>
        <v>0</v>
      </c>
      <c r="E68" s="6">
        <f>SUM(Волгоград!E68,Саратов!E68,Астрахань!E68,РК!E68,Пенза!E68)</f>
        <v>0</v>
      </c>
    </row>
    <row r="69" spans="1:9" ht="15.75" thickBot="1" x14ac:dyDescent="0.3">
      <c r="A69" s="10" t="s">
        <v>126</v>
      </c>
      <c r="B69" s="26" t="s">
        <v>127</v>
      </c>
      <c r="C69" s="6">
        <f>SUM(Волгоград!C69,Саратов!C69,Астрахань!C69,РК!C69,Пенза!C69)</f>
        <v>0</v>
      </c>
      <c r="D69" s="6">
        <f>SUM(Волгоград!D69,Саратов!D69,Астрахань!D69,РК!D69,Пенза!D69)</f>
        <v>0</v>
      </c>
      <c r="E69" s="6">
        <f>SUM(Волгоград!E69,Саратов!E69,Астрахань!E69,РК!E69,Пенза!E69)</f>
        <v>0</v>
      </c>
    </row>
    <row r="70" spans="1:9" ht="15.75" thickBot="1" x14ac:dyDescent="0.3">
      <c r="A70" s="10" t="s">
        <v>128</v>
      </c>
      <c r="B70" s="26" t="s">
        <v>129</v>
      </c>
      <c r="C70" s="6">
        <f>SUM(Волгоград!C70,Саратов!C70,Астрахань!C70,РК!C70,Пенза!C70)</f>
        <v>0</v>
      </c>
      <c r="D70" s="6">
        <f>SUM(Волгоград!D70,Саратов!D70,Астрахань!D70,РК!D70,Пенза!D70)</f>
        <v>0</v>
      </c>
      <c r="E70" s="6">
        <f>SUM(Волгоград!E70,Саратов!E70,Астрахань!E70,РК!E70,Пенза!E70)</f>
        <v>0</v>
      </c>
    </row>
    <row r="71" spans="1:9" ht="15.75" thickBot="1" x14ac:dyDescent="0.3">
      <c r="A71" s="10" t="s">
        <v>130</v>
      </c>
      <c r="B71" s="26" t="s">
        <v>131</v>
      </c>
      <c r="C71" s="6">
        <f>SUM(Волгоград!C71,Саратов!C71,Астрахань!C71,РК!C71,Пенза!C71)</f>
        <v>0</v>
      </c>
      <c r="D71" s="6">
        <f>SUM(Волгоград!D71,Саратов!D71,Астрахань!D71,РК!D71,Пенза!D71)</f>
        <v>0</v>
      </c>
      <c r="E71" s="6">
        <f>SUM(Волгоград!E71,Саратов!E71,Астрахань!E71,РК!E71,Пенза!E71)</f>
        <v>0</v>
      </c>
    </row>
    <row r="72" spans="1:9" ht="24.75" thickBot="1" x14ac:dyDescent="0.3">
      <c r="A72" s="7" t="s">
        <v>132</v>
      </c>
      <c r="B72" s="23" t="s">
        <v>133</v>
      </c>
      <c r="C72" s="11">
        <f>SUM(Волгоград!C72,Саратов!C72,Астрахань!C72,РК!C72,Пенза!C72)</f>
        <v>0</v>
      </c>
      <c r="D72" s="11">
        <f>SUM(Волгоград!D72,Саратов!D72,Астрахань!D72,РК!D72,Пенза!D72)</f>
        <v>0</v>
      </c>
      <c r="E72" s="11">
        <f>SUM(Волгоград!E72,Саратов!E72,Астрахань!E72,РК!E72,Пенза!E72)</f>
        <v>0</v>
      </c>
    </row>
    <row r="73" spans="1:9" ht="15.75" thickBot="1" x14ac:dyDescent="0.3">
      <c r="A73" s="7" t="s">
        <v>134</v>
      </c>
      <c r="B73" s="23" t="s">
        <v>135</v>
      </c>
      <c r="C73" s="11">
        <f>SUM(Волгоград!C73,Саратов!C73,Астрахань!C73,РК!C73,Пенза!C73)</f>
        <v>0</v>
      </c>
      <c r="D73" s="11">
        <f>SUM(Волгоград!D73,Саратов!D73,Астрахань!D73,РК!D73,Пенза!D73)</f>
        <v>0</v>
      </c>
      <c r="E73" s="11">
        <f>SUM(Волгоград!E73,Саратов!E73,Астрахань!E73,РК!E73,Пенза!E73)</f>
        <v>0</v>
      </c>
    </row>
    <row r="74" spans="1:9" ht="24.75" thickBot="1" x14ac:dyDescent="0.3">
      <c r="A74" s="7" t="s">
        <v>136</v>
      </c>
      <c r="B74" s="23" t="s">
        <v>137</v>
      </c>
      <c r="C74" s="11">
        <f>SUM(Волгоград!C74,Саратов!C74,Астрахань!C74,РК!C74,Пенза!C74)</f>
        <v>0</v>
      </c>
      <c r="D74" s="11">
        <f>SUM(Волгоград!D74,Саратов!D74,Астрахань!D74,РК!D74,Пенза!D74)</f>
        <v>0</v>
      </c>
      <c r="E74" s="11">
        <f>SUM(Волгоград!E74,Саратов!E74,Астрахань!E74,РК!E74,Пенза!E74)</f>
        <v>0</v>
      </c>
    </row>
    <row r="75" spans="1:9" ht="24.75" thickBot="1" x14ac:dyDescent="0.3">
      <c r="A75" s="7" t="s">
        <v>138</v>
      </c>
      <c r="B75" s="23" t="s">
        <v>139</v>
      </c>
      <c r="C75" s="11">
        <f>SUM(Волгоград!C75,Саратов!C75,Астрахань!C75,РК!C75,Пенза!C75)</f>
        <v>332</v>
      </c>
      <c r="D75" s="11">
        <f>SUM(Волгоград!D75,Саратов!D75,Астрахань!D75,РК!D75,Пенза!D75)</f>
        <v>225</v>
      </c>
      <c r="E75" s="11">
        <f>SUM(Волгоград!E75,Саратов!E75,Астрахань!E75,РК!E75,Пенза!E75)</f>
        <v>107</v>
      </c>
      <c r="G75" s="89" t="s">
        <v>512</v>
      </c>
      <c r="H75" s="89"/>
      <c r="I75" s="89"/>
    </row>
    <row r="76" spans="1:9" ht="24.75" thickBot="1" x14ac:dyDescent="0.3">
      <c r="A76" s="10" t="s">
        <v>140</v>
      </c>
      <c r="B76" s="26" t="s">
        <v>141</v>
      </c>
      <c r="C76" s="6">
        <f>SUM(Волгоград!C76,Саратов!C76,Астрахань!C76,РК!C76,Пенза!C76)</f>
        <v>52</v>
      </c>
      <c r="D76" s="6">
        <f>SUM(Волгоград!D76,Саратов!D76,Астрахань!D76,РК!D76,Пенза!D76)</f>
        <v>44</v>
      </c>
      <c r="E76" s="6">
        <f>SUM(Волгоград!E76,Саратов!E76,Астрахань!E76,РК!E76,Пенза!E76)</f>
        <v>8</v>
      </c>
      <c r="G76" s="89"/>
      <c r="H76" s="89"/>
      <c r="I76" s="89"/>
    </row>
    <row r="77" spans="1:9" ht="24.75" thickBot="1" x14ac:dyDescent="0.3">
      <c r="A77" s="7" t="s">
        <v>142</v>
      </c>
      <c r="B77" s="23" t="s">
        <v>143</v>
      </c>
      <c r="C77" s="11">
        <f>SUM(Волгоград!C77,Саратов!C77,Астрахань!C77,РК!C77,Пенза!C77)</f>
        <v>1</v>
      </c>
      <c r="D77" s="11">
        <f>SUM(Волгоград!D77,Саратов!D77,Астрахань!D77,РК!D77,Пенза!D77)</f>
        <v>1</v>
      </c>
      <c r="E77" s="11">
        <f>SUM(Волгоград!E77,Саратов!E77,Астрахань!E77,РК!E77,Пенза!E77)</f>
        <v>0</v>
      </c>
      <c r="G77" s="89"/>
      <c r="H77" s="89"/>
      <c r="I77" s="89"/>
    </row>
    <row r="78" spans="1:9" ht="36.75" thickBot="1" x14ac:dyDescent="0.3">
      <c r="A78" s="10" t="s">
        <v>144</v>
      </c>
      <c r="B78" s="24" t="s">
        <v>145</v>
      </c>
      <c r="C78" s="6">
        <f>SUM(Волгоград!C78,Саратов!C78,Астрахань!C78,РК!C78,Пенза!C78)</f>
        <v>0</v>
      </c>
      <c r="D78" s="6">
        <f>SUM(Волгоград!D78,Саратов!D78,Астрахань!D78,РК!D78,Пенза!D78)</f>
        <v>0</v>
      </c>
      <c r="E78" s="6">
        <f>SUM(Волгоград!E78,Саратов!E78,Астрахань!E78,РК!E78,Пенза!E78)</f>
        <v>0</v>
      </c>
      <c r="G78" s="89"/>
      <c r="H78" s="89"/>
      <c r="I78" s="89"/>
    </row>
    <row r="79" spans="1:9" ht="36.75" thickBot="1" x14ac:dyDescent="0.3">
      <c r="A79" s="7" t="s">
        <v>146</v>
      </c>
      <c r="B79" s="23" t="s">
        <v>147</v>
      </c>
      <c r="C79" s="39">
        <f>SUM(Волгоград!C79,Саратов!C79,Астрахань!C79,РК!C79,Пенза!C79)</f>
        <v>44</v>
      </c>
      <c r="D79" s="39">
        <f>SUM(Волгоград!D79,Саратов!D79,Астрахань!D79,РК!D79,Пенза!D79)</f>
        <v>36</v>
      </c>
      <c r="E79" s="39">
        <f>SUM(Волгоград!E79,Саратов!E79,Астрахань!E79,РК!E79,Пенза!E79)</f>
        <v>8</v>
      </c>
      <c r="G79" s="89"/>
      <c r="H79" s="89"/>
      <c r="I79" s="89"/>
    </row>
    <row r="80" spans="1:9" ht="24.75" thickBot="1" x14ac:dyDescent="0.3">
      <c r="A80" s="8" t="s">
        <v>148</v>
      </c>
      <c r="B80" s="24" t="s">
        <v>149</v>
      </c>
      <c r="C80" s="6">
        <f>SUM(Волгоград!C80,Саратов!C80,Астрахань!C80,РК!C80,Пенза!C80)</f>
        <v>42</v>
      </c>
      <c r="D80" s="6">
        <f>SUM(Волгоград!D80,Саратов!D80,Астрахань!D80,РК!D80,Пенза!D80)</f>
        <v>35</v>
      </c>
      <c r="E80" s="6">
        <f>SUM(Волгоград!E80,Саратов!E80,Астрахань!E80,РК!E80,Пенза!E80)</f>
        <v>7</v>
      </c>
      <c r="G80" s="89"/>
      <c r="H80" s="89"/>
      <c r="I80" s="89"/>
    </row>
    <row r="81" spans="1:9" ht="36.75" thickBot="1" x14ac:dyDescent="0.3">
      <c r="A81" s="8" t="s">
        <v>150</v>
      </c>
      <c r="B81" s="24" t="s">
        <v>151</v>
      </c>
      <c r="C81" s="6">
        <f>SUM(Волгоград!C81,Саратов!C81,Астрахань!C81,РК!C81,Пенза!C81)</f>
        <v>0</v>
      </c>
      <c r="D81" s="6">
        <f>SUM(Волгоград!D81,Саратов!D81,Астрахань!D81,РК!D81,Пенза!D81)</f>
        <v>0</v>
      </c>
      <c r="E81" s="6">
        <f>SUM(Волгоград!E81,Саратов!E81,Астрахань!E81,РК!E81,Пенза!E81)</f>
        <v>0</v>
      </c>
      <c r="G81" s="89"/>
      <c r="H81" s="89"/>
      <c r="I81" s="89"/>
    </row>
    <row r="82" spans="1:9" ht="36.75" thickBot="1" x14ac:dyDescent="0.3">
      <c r="A82" s="8" t="s">
        <v>152</v>
      </c>
      <c r="B82" s="24" t="s">
        <v>153</v>
      </c>
      <c r="C82" s="6">
        <f>SUM(Волгоград!C82,Саратов!C82,Астрахань!C82,РК!C82,Пенза!C82)</f>
        <v>42</v>
      </c>
      <c r="D82" s="6">
        <f>SUM(Волгоград!D82,Саратов!D82,Астрахань!D82,РК!D82,Пенза!D82)</f>
        <v>35</v>
      </c>
      <c r="E82" s="6">
        <f>SUM(Волгоград!E82,Саратов!E82,Астрахань!E82,РК!E82,Пенза!E82)</f>
        <v>7</v>
      </c>
      <c r="G82" s="89"/>
      <c r="H82" s="89"/>
      <c r="I82" s="89"/>
    </row>
    <row r="83" spans="1:9" ht="24.75" thickBot="1" x14ac:dyDescent="0.3">
      <c r="A83" s="8" t="s">
        <v>154</v>
      </c>
      <c r="B83" s="24" t="s">
        <v>155</v>
      </c>
      <c r="C83" s="6">
        <f>SUM(Волгоград!C83,Саратов!C83,Астрахань!C83,РК!C83,Пенза!C83)</f>
        <v>2</v>
      </c>
      <c r="D83" s="6">
        <f>SUM(Волгоград!D83,Саратов!D83,Астрахань!D83,РК!D83,Пенза!D83)</f>
        <v>1</v>
      </c>
      <c r="E83" s="6">
        <f>SUM(Волгоград!E83,Саратов!E83,Астрахань!E83,РК!E83,Пенза!E83)</f>
        <v>1</v>
      </c>
      <c r="G83" s="89"/>
      <c r="H83" s="89"/>
      <c r="I83" s="89"/>
    </row>
    <row r="84" spans="1:9" ht="48.75" thickBot="1" x14ac:dyDescent="0.3">
      <c r="A84" s="15" t="s">
        <v>493</v>
      </c>
      <c r="B84" s="24" t="s">
        <v>156</v>
      </c>
      <c r="C84" s="6">
        <f>SUM(Волгоград!C84,Саратов!C84,Астрахань!C84,РК!C84,Пенза!C84)</f>
        <v>0</v>
      </c>
      <c r="D84" s="6">
        <f>SUM(Волгоград!D84,Саратов!D84,Астрахань!D84,РК!D84,Пенза!D84)</f>
        <v>0</v>
      </c>
      <c r="E84" s="6">
        <f>SUM(Волгоград!E84,Саратов!E84,Астрахань!E84,РК!E84,Пенза!E84)</f>
        <v>0</v>
      </c>
      <c r="G84" s="89"/>
      <c r="H84" s="89"/>
      <c r="I84" s="89"/>
    </row>
    <row r="85" spans="1:9" ht="24.75" thickBot="1" x14ac:dyDescent="0.3">
      <c r="A85" s="7" t="s">
        <v>157</v>
      </c>
      <c r="B85" s="23" t="s">
        <v>158</v>
      </c>
      <c r="C85" s="11">
        <f>SUM(Волгоград!C85,Саратов!C85,Астрахань!C85,РК!C85,Пенза!C85)</f>
        <v>3273</v>
      </c>
      <c r="D85" s="11">
        <f>SUM(Волгоград!D85,Саратов!D85,Астрахань!D85,РК!D85,Пенза!D85)</f>
        <v>2516</v>
      </c>
      <c r="E85" s="11">
        <f>SUM(Волгоград!E85,Саратов!E85,Астрахань!E85,РК!E85,Пенза!E85)</f>
        <v>757</v>
      </c>
      <c r="G85" s="89">
        <f>C85</f>
        <v>3273</v>
      </c>
      <c r="H85" s="89">
        <f>C88+C91+C94+C97+C100+C103+C106</f>
        <v>3273</v>
      </c>
      <c r="I85" s="89"/>
    </row>
    <row r="86" spans="1:9" ht="15.75" thickBot="1" x14ac:dyDescent="0.3">
      <c r="A86" s="12" t="s">
        <v>159</v>
      </c>
      <c r="B86" s="26" t="s">
        <v>13</v>
      </c>
      <c r="C86" s="6">
        <f>SUM(Волгоград!C86,Саратов!C86,Астрахань!C86,РК!C86,Пенза!C86)</f>
        <v>1272</v>
      </c>
      <c r="D86" s="6">
        <f>SUM(Волгоград!D86,Саратов!D86,Астрахань!D86,РК!D86,Пенза!D86)</f>
        <v>942</v>
      </c>
      <c r="E86" s="6">
        <f>SUM(Волгоград!E86,Саратов!E86,Астрахань!E86,РК!E86,Пенза!E86)</f>
        <v>330</v>
      </c>
      <c r="G86" s="89">
        <f>C86</f>
        <v>1272</v>
      </c>
      <c r="H86" s="89">
        <f>C89+C92+C95+C98+C101+C104+C108</f>
        <v>1272</v>
      </c>
      <c r="I86" s="89"/>
    </row>
    <row r="87" spans="1:9" ht="24.75" thickBot="1" x14ac:dyDescent="0.3">
      <c r="A87" s="12" t="s">
        <v>160</v>
      </c>
      <c r="B87" s="26" t="s">
        <v>161</v>
      </c>
      <c r="C87" s="6">
        <f>SUM(Волгоград!C87,Саратов!C87,Астрахань!C87,РК!C87,Пенза!C87)</f>
        <v>2001</v>
      </c>
      <c r="D87" s="6">
        <f>SUM(Волгоград!D87,Саратов!D87,Астрахань!D87,РК!D87,Пенза!D87)</f>
        <v>1574</v>
      </c>
      <c r="E87" s="6">
        <f>SUM(Волгоград!E87,Саратов!E87,Астрахань!E87,РК!E87,Пенза!E87)</f>
        <v>427</v>
      </c>
    </row>
    <row r="88" spans="1:9" ht="15.75" thickBot="1" x14ac:dyDescent="0.3">
      <c r="A88" s="26" t="s">
        <v>162</v>
      </c>
      <c r="B88" s="26" t="s">
        <v>494</v>
      </c>
      <c r="C88" s="41">
        <f>SUM(Волгоград!C88,Саратов!C88,Астрахань!C88,РК!C88,Пенза!C88)</f>
        <v>2583</v>
      </c>
      <c r="D88" s="41">
        <f>SUM(Волгоград!D88,Саратов!D88,Астрахань!D88,РК!D88,Пенза!D88)</f>
        <v>1957</v>
      </c>
      <c r="E88" s="41">
        <f>SUM(Волгоград!E88,Саратов!E88,Астрахань!E88,РК!E88,Пенза!E88)</f>
        <v>585</v>
      </c>
    </row>
    <row r="89" spans="1:9" ht="15.75" thickBot="1" x14ac:dyDescent="0.3">
      <c r="A89" s="12" t="s">
        <v>164</v>
      </c>
      <c r="B89" s="26" t="s">
        <v>13</v>
      </c>
      <c r="C89" s="6">
        <f>SUM(Волгоград!C89,Саратов!C89,Астрахань!C89,РК!C89,Пенза!C89)</f>
        <v>816</v>
      </c>
      <c r="D89" s="6">
        <f>SUM(Волгоград!D89,Саратов!D89,Астрахань!D89,РК!D89,Пенза!D89)</f>
        <v>570</v>
      </c>
      <c r="E89" s="6">
        <f>SUM(Волгоград!E89,Саратов!E89,Астрахань!E89,РК!E89,Пенза!E89)</f>
        <v>246</v>
      </c>
    </row>
    <row r="90" spans="1:9" ht="24.75" thickBot="1" x14ac:dyDescent="0.3">
      <c r="A90" s="12" t="s">
        <v>165</v>
      </c>
      <c r="B90" s="26" t="s">
        <v>166</v>
      </c>
      <c r="C90" s="6">
        <f>SUM(Волгоград!C90,Саратов!C90,Астрахань!C90,РК!C90,Пенза!C90)</f>
        <v>1767</v>
      </c>
      <c r="D90" s="6">
        <f>SUM(Волгоград!D90,Саратов!D90,Астрахань!D90,РК!D90,Пенза!D90)</f>
        <v>1387</v>
      </c>
      <c r="E90" s="6">
        <f>SUM(Волгоград!E90,Саратов!E90,Астрахань!E90,РК!E90,Пенза!E90)</f>
        <v>380</v>
      </c>
    </row>
    <row r="91" spans="1:9" x14ac:dyDescent="0.25">
      <c r="A91" s="22" t="s">
        <v>167</v>
      </c>
      <c r="B91" s="28" t="s">
        <v>495</v>
      </c>
      <c r="C91" s="50">
        <f>SUM(Волгоград!C91,Саратов!C91,Астрахань!C91,РК!C91,Пенза!C91)</f>
        <v>326</v>
      </c>
      <c r="D91" s="50">
        <f>SUM(Волгоград!D91,Саратов!D91,Астрахань!D91,РК!D91,Пенза!D91)</f>
        <v>261</v>
      </c>
      <c r="E91" s="50">
        <f>SUM(Волгоград!E91,Саратов!E91,Астрахань!E91,РК!E91,Пенза!E91)</f>
        <v>65</v>
      </c>
    </row>
    <row r="92" spans="1:9" ht="15.75" thickBot="1" x14ac:dyDescent="0.3">
      <c r="A92" s="35" t="s">
        <v>168</v>
      </c>
      <c r="B92" s="26" t="s">
        <v>13</v>
      </c>
      <c r="C92" s="6">
        <f>SUM(Волгоград!C92,Саратов!C92,Астрахань!C92,РК!C92,Пенза!C92)</f>
        <v>174</v>
      </c>
      <c r="D92" s="6">
        <f>SUM(Волгоград!D92,Саратов!D92,Астрахань!D92,РК!D92,Пенза!D92)</f>
        <v>137</v>
      </c>
      <c r="E92" s="6">
        <f>SUM(Волгоград!E92,Саратов!E92,Астрахань!E92,РК!E92,Пенза!E92)</f>
        <v>37</v>
      </c>
    </row>
    <row r="93" spans="1:9" ht="24.75" thickBot="1" x14ac:dyDescent="0.3">
      <c r="A93" s="35" t="s">
        <v>169</v>
      </c>
      <c r="B93" s="26" t="s">
        <v>166</v>
      </c>
      <c r="C93" s="6">
        <f>SUM(Волгоград!C93,Саратов!C93,Астрахань!C93,РК!C93,Пенза!C93)</f>
        <v>152</v>
      </c>
      <c r="D93" s="6">
        <f>SUM(Волгоград!D93,Саратов!D93,Астрахань!D93,РК!D93,Пенза!D93)</f>
        <v>124</v>
      </c>
      <c r="E93" s="6">
        <f>SUM(Волгоград!E93,Саратов!E93,Астрахань!E93,РК!E93,Пенза!E93)</f>
        <v>28</v>
      </c>
    </row>
    <row r="94" spans="1:9" x14ac:dyDescent="0.25">
      <c r="A94" s="34" t="s">
        <v>170</v>
      </c>
      <c r="B94" s="29" t="s">
        <v>496</v>
      </c>
      <c r="C94" s="50">
        <f>SUM(Волгоград!C94,Саратов!C94,Астрахань!C94,РК!C94,Пенза!C94)</f>
        <v>5</v>
      </c>
      <c r="D94" s="50">
        <f>SUM(Волгоград!D94,Саратов!D94,Астрахань!D94,РК!D94,Пенза!D94)</f>
        <v>0</v>
      </c>
      <c r="E94" s="50">
        <f>SUM(Волгоград!E94,Саратов!E94,Астрахань!E94,РК!E94,Пенза!E94)</f>
        <v>5</v>
      </c>
    </row>
    <row r="95" spans="1:9" ht="15.75" thickBot="1" x14ac:dyDescent="0.3">
      <c r="A95" s="35" t="s">
        <v>171</v>
      </c>
      <c r="B95" s="26" t="s">
        <v>13</v>
      </c>
      <c r="C95" s="6">
        <f>SUM(Волгоград!C95,Саратов!C95,Астрахань!C95,РК!C95,Пенза!C95)</f>
        <v>5</v>
      </c>
      <c r="D95" s="6">
        <f>SUM(Волгоград!D95,Саратов!D95,Астрахань!D95,РК!D95,Пенза!D95)</f>
        <v>0</v>
      </c>
      <c r="E95" s="6">
        <f>SUM(Волгоград!E95,Саратов!E95,Астрахань!E95,РК!E95,Пенза!E95)</f>
        <v>5</v>
      </c>
    </row>
    <row r="96" spans="1:9" ht="24.75" thickBot="1" x14ac:dyDescent="0.3">
      <c r="A96" s="35" t="s">
        <v>172</v>
      </c>
      <c r="B96" s="26" t="s">
        <v>166</v>
      </c>
      <c r="C96" s="6">
        <f>SUM(Волгоград!C96,Саратов!C96,Астрахань!C96,РК!C96,Пенза!C96)</f>
        <v>0</v>
      </c>
      <c r="D96" s="6">
        <f>SUM(Волгоград!D96,Саратов!D96,Астрахань!D96,РК!D96,Пенза!D96)</f>
        <v>0</v>
      </c>
      <c r="E96" s="6">
        <f>SUM(Волгоград!E96,Саратов!E96,Астрахань!E96,РК!E96,Пенза!E96)</f>
        <v>0</v>
      </c>
    </row>
    <row r="97" spans="1:5" ht="24.75" thickBot="1" x14ac:dyDescent="0.3">
      <c r="A97" s="35" t="s">
        <v>170</v>
      </c>
      <c r="B97" s="30" t="s">
        <v>173</v>
      </c>
      <c r="C97" s="6">
        <f>SUM(Волгоград!C97,Саратов!C97,Астрахань!C97,РК!C97,Пенза!C97)</f>
        <v>195</v>
      </c>
      <c r="D97" s="6">
        <f>SUM(Волгоград!D97,Саратов!D97,Астрахань!D97,РК!D97,Пенза!D97)</f>
        <v>147</v>
      </c>
      <c r="E97" s="6">
        <f>SUM(Волгоград!E97,Саратов!E97,Астрахань!E97,РК!E97,Пенза!E97)</f>
        <v>48</v>
      </c>
    </row>
    <row r="98" spans="1:5" ht="15.75" thickBot="1" x14ac:dyDescent="0.3">
      <c r="A98" s="35" t="s">
        <v>174</v>
      </c>
      <c r="B98" s="26" t="s">
        <v>13</v>
      </c>
      <c r="C98" s="6">
        <f>SUM(Волгоград!C98,Саратов!C98,Астрахань!C98,РК!C98,Пенза!C98)</f>
        <v>145</v>
      </c>
      <c r="D98" s="6">
        <f>SUM(Волгоград!D98,Саратов!D98,Астрахань!D98,РК!D98,Пенза!D98)</f>
        <v>111</v>
      </c>
      <c r="E98" s="6">
        <f>SUM(Волгоград!E98,Саратов!E98,Астрахань!E98,РК!E98,Пенза!E98)</f>
        <v>34</v>
      </c>
    </row>
    <row r="99" spans="1:5" ht="24.75" thickBot="1" x14ac:dyDescent="0.3">
      <c r="A99" s="35" t="s">
        <v>175</v>
      </c>
      <c r="B99" s="26" t="s">
        <v>166</v>
      </c>
      <c r="C99" s="6">
        <f>SUM(Волгоград!C99,Саратов!C99,Астрахань!C99,РК!C99,Пенза!C99)</f>
        <v>50</v>
      </c>
      <c r="D99" s="6">
        <f>SUM(Волгоград!D99,Саратов!D99,Астрахань!D99,РК!D99,Пенза!D99)</f>
        <v>36</v>
      </c>
      <c r="E99" s="6">
        <f>SUM(Волгоград!E99,Саратов!E99,Астрахань!E99,РК!E99,Пенза!E99)</f>
        <v>14</v>
      </c>
    </row>
    <row r="100" spans="1:5" ht="15.75" thickBot="1" x14ac:dyDescent="0.3">
      <c r="A100" s="35" t="s">
        <v>176</v>
      </c>
      <c r="B100" s="30" t="s">
        <v>177</v>
      </c>
      <c r="C100" s="6">
        <f>SUM(Волгоград!C100,Саратов!C100,Астрахань!C100,РК!C100,Пенза!C100)</f>
        <v>36</v>
      </c>
      <c r="D100" s="6">
        <f>SUM(Волгоград!D100,Саратов!D100,Астрахань!D100,РК!D100,Пенза!D100)</f>
        <v>30</v>
      </c>
      <c r="E100" s="6">
        <f>SUM(Волгоград!E100,Саратов!E100,Астрахань!E100,РК!E100,Пенза!E100)</f>
        <v>6</v>
      </c>
    </row>
    <row r="101" spans="1:5" ht="15.75" thickBot="1" x14ac:dyDescent="0.3">
      <c r="A101" s="35" t="s">
        <v>178</v>
      </c>
      <c r="B101" s="26" t="s">
        <v>13</v>
      </c>
      <c r="C101" s="6">
        <f>SUM(Волгоград!C101,Саратов!C101,Астрахань!C101,РК!C101,Пенза!C101)</f>
        <v>32</v>
      </c>
      <c r="D101" s="6">
        <f>SUM(Волгоград!D101,Саратов!D101,Астрахань!D101,РК!D101,Пенза!D101)</f>
        <v>29</v>
      </c>
      <c r="E101" s="6">
        <f>SUM(Волгоград!E101,Саратов!E101,Астрахань!E101,РК!E101,Пенза!E101)</f>
        <v>3</v>
      </c>
    </row>
    <row r="102" spans="1:5" ht="24.75" thickBot="1" x14ac:dyDescent="0.3">
      <c r="A102" s="35" t="s">
        <v>179</v>
      </c>
      <c r="B102" s="26" t="s">
        <v>166</v>
      </c>
      <c r="C102" s="6">
        <f>SUM(Волгоград!C102,Саратов!C102,Астрахань!C102,РК!C102,Пенза!C102)</f>
        <v>4</v>
      </c>
      <c r="D102" s="6">
        <f>SUM(Волгоград!D102,Саратов!D102,Астрахань!D102,РК!D102,Пенза!D102)</f>
        <v>1</v>
      </c>
      <c r="E102" s="6">
        <f>SUM(Волгоград!E102,Саратов!E102,Астрахань!E102,РК!E102,Пенза!E102)</f>
        <v>3</v>
      </c>
    </row>
    <row r="103" spans="1:5" x14ac:dyDescent="0.25">
      <c r="A103" s="34" t="s">
        <v>180</v>
      </c>
      <c r="B103" s="29" t="s">
        <v>497</v>
      </c>
      <c r="C103" s="50">
        <f>SUM(Волгоград!C103,Саратов!C103,Астрахань!C103,РК!C103,Пенза!C103)</f>
        <v>15</v>
      </c>
      <c r="D103" s="50">
        <f>SUM(Волгоград!D103,Саратов!D103,Астрахань!D103,РК!D103,Пенза!D103)</f>
        <v>13</v>
      </c>
      <c r="E103" s="50">
        <f>SUM(Волгоград!E103,Саратов!E103,Астрахань!E103,РК!E103,Пенза!E103)</f>
        <v>2</v>
      </c>
    </row>
    <row r="104" spans="1:5" ht="15.75" thickBot="1" x14ac:dyDescent="0.3">
      <c r="A104" s="35" t="s">
        <v>181</v>
      </c>
      <c r="B104" s="26" t="s">
        <v>13</v>
      </c>
      <c r="C104" s="6">
        <f>SUM(Волгоград!C104,Саратов!C104,Астрахань!C104,РК!C104,Пенза!C104)</f>
        <v>13</v>
      </c>
      <c r="D104" s="6">
        <f>SUM(Волгоград!D104,Саратов!D104,Астрахань!D104,РК!D104,Пенза!D104)</f>
        <v>13</v>
      </c>
      <c r="E104" s="6">
        <f>SUM(Волгоград!E104,Саратов!E104,Астрахань!E104,РК!E104,Пенза!E104)</f>
        <v>0</v>
      </c>
    </row>
    <row r="105" spans="1:5" ht="24.75" thickBot="1" x14ac:dyDescent="0.3">
      <c r="A105" s="35" t="s">
        <v>182</v>
      </c>
      <c r="B105" s="26" t="s">
        <v>166</v>
      </c>
      <c r="C105" s="6">
        <f>SUM(Волгоград!C105,Саратов!C105,Астрахань!C105,РК!C105,Пенза!C105)</f>
        <v>2</v>
      </c>
      <c r="D105" s="6">
        <f>SUM(Волгоград!D105,Саратов!D105,Астрахань!D105,РК!D105,Пенза!D105)</f>
        <v>0</v>
      </c>
      <c r="E105" s="6">
        <f>SUM(Волгоград!E105,Саратов!E105,Астрахань!E105,РК!E105,Пенза!E105)</f>
        <v>2</v>
      </c>
    </row>
    <row r="106" spans="1:5" x14ac:dyDescent="0.25">
      <c r="A106" s="78" t="s">
        <v>183</v>
      </c>
      <c r="B106" s="29" t="s">
        <v>184</v>
      </c>
      <c r="C106" s="80">
        <f>SUM(Волгоград!C106,Саратов!C106,Астрахань!C106,РК!C106,Пенза!C106)</f>
        <v>113</v>
      </c>
      <c r="D106" s="80">
        <f>SUM(Волгоград!D106,Саратов!D106,Астрахань!D106,РК!D106,Пенза!D106)</f>
        <v>107</v>
      </c>
      <c r="E106" s="80">
        <f>SUM(Волгоград!E106,Саратов!E106,Астрахань!E106,РК!E106,Пенза!E106)</f>
        <v>6</v>
      </c>
    </row>
    <row r="107" spans="1:5" ht="15.75" thickBot="1" x14ac:dyDescent="0.3">
      <c r="A107" s="79"/>
      <c r="B107" s="30" t="s">
        <v>163</v>
      </c>
      <c r="C107" s="81">
        <f>SUM(Волгоград!C107,Саратов!C107,Астрахань!C107,РК!C107,Пенза!C107)</f>
        <v>0</v>
      </c>
      <c r="D107" s="81">
        <f>SUM(Волгоград!D107,Саратов!D107,Астрахань!D107,РК!D107,Пенза!D107)</f>
        <v>0</v>
      </c>
      <c r="E107" s="81">
        <f>SUM(Волгоград!E107,Саратов!E107,Астрахань!E107,РК!E107,Пенза!E107)</f>
        <v>0</v>
      </c>
    </row>
    <row r="108" spans="1:5" ht="15.75" thickBot="1" x14ac:dyDescent="0.3">
      <c r="A108" s="35" t="s">
        <v>185</v>
      </c>
      <c r="B108" s="26" t="s">
        <v>13</v>
      </c>
      <c r="C108" s="6">
        <f>SUM(Волгоград!C108,Саратов!C108,Астрахань!C108,РК!C108,Пенза!C108)</f>
        <v>87</v>
      </c>
      <c r="D108" s="6">
        <f>SUM(Волгоград!D108,Саратов!D108,Астрахань!D108,РК!D108,Пенза!D108)</f>
        <v>82</v>
      </c>
      <c r="E108" s="6">
        <f>SUM(Волгоград!E108,Саратов!E108,Астрахань!E108,РК!E108,Пенза!E108)</f>
        <v>5</v>
      </c>
    </row>
    <row r="109" spans="1:5" ht="24.75" thickBot="1" x14ac:dyDescent="0.3">
      <c r="A109" s="35" t="s">
        <v>186</v>
      </c>
      <c r="B109" s="26" t="s">
        <v>166</v>
      </c>
      <c r="C109" s="6">
        <f>SUM(Волгоград!C109,Саратов!C109,Астрахань!C109,РК!C109,Пенза!C109)</f>
        <v>28</v>
      </c>
      <c r="D109" s="6">
        <f>SUM(Волгоград!D109,Саратов!D109,Астрахань!D109,РК!D109,Пенза!D109)</f>
        <v>27</v>
      </c>
      <c r="E109" s="6">
        <f>SUM(Волгоград!E109,Саратов!E109,Астрахань!E109,РК!E109,Пенза!E109)</f>
        <v>1</v>
      </c>
    </row>
    <row r="110" spans="1:5" ht="15.75" thickBot="1" x14ac:dyDescent="0.3">
      <c r="A110" s="35" t="s">
        <v>187</v>
      </c>
      <c r="B110" s="24" t="s">
        <v>188</v>
      </c>
      <c r="C110" s="51">
        <f>SUM(Волгоград!C110,Саратов!C110,Астрахань!C110,РК!C110,Пенза!C110)</f>
        <v>26</v>
      </c>
      <c r="D110" s="51">
        <f>SUM(Волгоград!D110,Саратов!D110,Астрахань!D110,РК!D110,Пенза!D110)</f>
        <v>26</v>
      </c>
      <c r="E110" s="51">
        <f>SUM(Волгоград!E110,Саратов!E110,Астрахань!E110,РК!E110,Пенза!E110)</f>
        <v>0</v>
      </c>
    </row>
    <row r="111" spans="1:5" ht="24.75" thickBot="1" x14ac:dyDescent="0.3">
      <c r="A111" s="35" t="s">
        <v>189</v>
      </c>
      <c r="B111" s="24" t="s">
        <v>190</v>
      </c>
      <c r="C111" s="51">
        <f>SUM(Волгоград!C111,Саратов!C111,Астрахань!C111,РК!C111,Пенза!C111)</f>
        <v>2235</v>
      </c>
      <c r="D111" s="51">
        <f>SUM(Волгоград!D111,Саратов!D111,Астрахань!D111,РК!D111,Пенза!D111)</f>
        <v>1880</v>
      </c>
      <c r="E111" s="51">
        <f>SUM(Волгоград!E111,Саратов!E111,Астрахань!E111,РК!E111,Пенза!E111)</f>
        <v>355</v>
      </c>
    </row>
    <row r="112" spans="1:5" ht="24.75" thickBot="1" x14ac:dyDescent="0.3">
      <c r="A112" s="35" t="s">
        <v>191</v>
      </c>
      <c r="B112" s="24" t="s">
        <v>192</v>
      </c>
      <c r="C112" s="51">
        <f>SUM(Волгоград!C112,Саратов!C112,Астрахань!C112,РК!C112,Пенза!C112)</f>
        <v>1012</v>
      </c>
      <c r="D112" s="51">
        <f>SUM(Волгоград!D112,Саратов!D112,Астрахань!D112,РК!D112,Пенза!D112)</f>
        <v>610</v>
      </c>
      <c r="E112" s="51">
        <f>SUM(Волгоград!E112,Саратов!E112,Астрахань!E112,РК!E112,Пенза!E112)</f>
        <v>402</v>
      </c>
    </row>
    <row r="113" spans="1:5" ht="24.75" thickBot="1" x14ac:dyDescent="0.3">
      <c r="A113" s="35" t="s">
        <v>193</v>
      </c>
      <c r="B113" s="24" t="s">
        <v>194</v>
      </c>
      <c r="C113" s="51">
        <f>SUM(Волгоград!C113,Саратов!C113,Астрахань!C113,РК!C113,Пенза!C113)</f>
        <v>0</v>
      </c>
      <c r="D113" s="51">
        <f>SUM(Волгоград!D113,Саратов!D113,Астрахань!D113,РК!D113,Пенза!D113)</f>
        <v>0</v>
      </c>
      <c r="E113" s="51">
        <f>SUM(Волгоград!E113,Саратов!E113,Астрахань!E113,РК!E113,Пенза!E113)</f>
        <v>0</v>
      </c>
    </row>
    <row r="114" spans="1:5" ht="36.75" thickBot="1" x14ac:dyDescent="0.3">
      <c r="A114" s="7" t="s">
        <v>195</v>
      </c>
      <c r="B114" s="23" t="s">
        <v>196</v>
      </c>
      <c r="C114" s="11">
        <f>SUM(Волгоград!C114,Саратов!C114,Астрахань!C114,РК!C114,Пенза!C114)</f>
        <v>180</v>
      </c>
      <c r="D114" s="11">
        <f>SUM(Волгоград!D114,Саратов!D114,Астрахань!D114,РК!D114,Пенза!D114)</f>
        <v>124</v>
      </c>
      <c r="E114" s="11">
        <f>SUM(Волгоград!E114,Саратов!E114,Астрахань!E114,РК!E114,Пенза!E114)</f>
        <v>58</v>
      </c>
    </row>
    <row r="115" spans="1:5" ht="15.75" thickBot="1" x14ac:dyDescent="0.3">
      <c r="A115" s="12" t="s">
        <v>197</v>
      </c>
      <c r="B115" s="26" t="s">
        <v>198</v>
      </c>
      <c r="C115" s="6">
        <f>SUM(Волгоград!C115,Саратов!C115,Астрахань!C115,РК!C115,Пенза!C115)</f>
        <v>112</v>
      </c>
      <c r="D115" s="6">
        <f>SUM(Волгоград!D115,Саратов!D115,Астрахань!D115,РК!D115,Пенза!D115)</f>
        <v>76</v>
      </c>
      <c r="E115" s="6">
        <f>SUM(Волгоград!E115,Саратов!E115,Астрахань!E115,РК!E115,Пенза!E115)</f>
        <v>36</v>
      </c>
    </row>
    <row r="116" spans="1:5" ht="24.75" thickBot="1" x14ac:dyDescent="0.3">
      <c r="A116" s="12" t="s">
        <v>199</v>
      </c>
      <c r="B116" s="26" t="s">
        <v>200</v>
      </c>
      <c r="C116" s="6">
        <f>SUM(Волгоград!C116,Саратов!C116,Астрахань!C116,РК!C116,Пенза!C116)</f>
        <v>68</v>
      </c>
      <c r="D116" s="6">
        <f>SUM(Волгоград!D116,Саратов!D116,Астрахань!D116,РК!D116,Пенза!D116)</f>
        <v>48</v>
      </c>
      <c r="E116" s="6">
        <f>SUM(Волгоград!E116,Саратов!E116,Астрахань!E116,РК!E116,Пенза!E116)</f>
        <v>22</v>
      </c>
    </row>
    <row r="117" spans="1:5" ht="15.75" thickBot="1" x14ac:dyDescent="0.3">
      <c r="A117" s="7" t="s">
        <v>201</v>
      </c>
      <c r="B117" s="23" t="s">
        <v>202</v>
      </c>
      <c r="C117" s="11">
        <f>SUM(Волгоград!C117,Саратов!C117,Астрахань!C117,РК!C117,Пенза!C117)</f>
        <v>0</v>
      </c>
      <c r="D117" s="11">
        <f>SUM(Волгоград!D117,Саратов!D117,Астрахань!D117,РК!D117,Пенза!D117)</f>
        <v>0</v>
      </c>
      <c r="E117" s="11">
        <f>SUM(Волгоград!E117,Саратов!E117,Астрахань!E117,РК!E117,Пенза!E117)</f>
        <v>0</v>
      </c>
    </row>
    <row r="118" spans="1:5" ht="24.75" thickBot="1" x14ac:dyDescent="0.3">
      <c r="A118" s="12" t="s">
        <v>203</v>
      </c>
      <c r="B118" s="26" t="s">
        <v>204</v>
      </c>
      <c r="C118" s="6">
        <f>SUM(Волгоград!C118,Саратов!C118,Астрахань!C118,РК!C118,Пенза!C118)</f>
        <v>0</v>
      </c>
      <c r="D118" s="6">
        <f>SUM(Волгоград!D118,Саратов!D118,Астрахань!D118,РК!D118,Пенза!D118)</f>
        <v>0</v>
      </c>
      <c r="E118" s="6">
        <f>SUM(Волгоград!E118,Саратов!E118,Астрахань!E118,РК!E118,Пенза!E118)</f>
        <v>0</v>
      </c>
    </row>
    <row r="119" spans="1:5" ht="15.75" thickBot="1" x14ac:dyDescent="0.3">
      <c r="A119" s="12" t="s">
        <v>205</v>
      </c>
      <c r="B119" s="26" t="s">
        <v>206</v>
      </c>
      <c r="C119" s="6">
        <f>SUM(Волгоград!C119,Саратов!C119,Астрахань!C119,РК!C119,Пенза!C119)</f>
        <v>0</v>
      </c>
      <c r="D119" s="6">
        <f>SUM(Волгоград!D119,Саратов!D119,Астрахань!D119,РК!D119,Пенза!D119)</f>
        <v>0</v>
      </c>
      <c r="E119" s="6">
        <f>SUM(Волгоград!E119,Саратов!E119,Астрахань!E119,РК!E119,Пенза!E119)</f>
        <v>0</v>
      </c>
    </row>
    <row r="120" spans="1:5" ht="24.75" thickBot="1" x14ac:dyDescent="0.3">
      <c r="A120" s="7" t="s">
        <v>207</v>
      </c>
      <c r="B120" s="23" t="s">
        <v>208</v>
      </c>
      <c r="C120" s="11">
        <f>SUM(Волгоград!C120,Саратов!C120,Астрахань!C120,РК!C120,Пенза!C120)</f>
        <v>0</v>
      </c>
      <c r="D120" s="11">
        <f>SUM(Волгоград!D120,Саратов!D120,Астрахань!D120,РК!D120,Пенза!D120)</f>
        <v>0</v>
      </c>
      <c r="E120" s="11">
        <f>SUM(Волгоград!E120,Саратов!E120,Астрахань!E120,РК!E120,Пенза!E120)</f>
        <v>0</v>
      </c>
    </row>
    <row r="121" spans="1:5" ht="24.75" thickBot="1" x14ac:dyDescent="0.3">
      <c r="A121" s="7" t="s">
        <v>209</v>
      </c>
      <c r="B121" s="23" t="s">
        <v>210</v>
      </c>
      <c r="C121" s="11">
        <f>SUM(Волгоград!C121,Саратов!C121,Астрахань!C121,РК!C121,Пенза!C121)</f>
        <v>0</v>
      </c>
      <c r="D121" s="11">
        <f>SUM(Волгоград!D121,Саратов!D121,Астрахань!D121,РК!D121,Пенза!D121)</f>
        <v>0</v>
      </c>
      <c r="E121" s="11">
        <f>SUM(Волгоград!E121,Саратов!E121,Астрахань!E121,РК!E121,Пенза!E121)</f>
        <v>0</v>
      </c>
    </row>
    <row r="122" spans="1:5" ht="24.75" thickBot="1" x14ac:dyDescent="0.3">
      <c r="A122" s="7" t="s">
        <v>211</v>
      </c>
      <c r="B122" s="23" t="s">
        <v>212</v>
      </c>
      <c r="C122" s="11">
        <f>SUM(Волгоград!C122,Саратов!C122,Астрахань!C122,РК!C122,Пенза!C122)</f>
        <v>0</v>
      </c>
      <c r="D122" s="11">
        <f>SUM(Волгоград!D122,Саратов!D122,Астрахань!D122,РК!D122,Пенза!D122)</f>
        <v>0</v>
      </c>
      <c r="E122" s="11">
        <f>SUM(Волгоград!E122,Саратов!E122,Астрахань!E122,РК!E122,Пенза!E122)</f>
        <v>0</v>
      </c>
    </row>
    <row r="123" spans="1:5" ht="24.75" thickBot="1" x14ac:dyDescent="0.3">
      <c r="A123" s="7" t="s">
        <v>213</v>
      </c>
      <c r="B123" s="23" t="s">
        <v>214</v>
      </c>
      <c r="C123" s="11">
        <f>SUM(Волгоград!C123,Саратов!C123,Астрахань!C123,РК!C123,Пенза!C123)</f>
        <v>0</v>
      </c>
      <c r="D123" s="11">
        <f>SUM(Волгоград!D123,Саратов!D123,Астрахань!D123,РК!D123,Пенза!D123)</f>
        <v>0</v>
      </c>
      <c r="E123" s="11">
        <f>SUM(Волгоград!E123,Саратов!E123,Астрахань!E123,РК!E123,Пенза!E123)</f>
        <v>0</v>
      </c>
    </row>
    <row r="124" spans="1:5" ht="36.75" thickBot="1" x14ac:dyDescent="0.3">
      <c r="A124" s="7" t="s">
        <v>215</v>
      </c>
      <c r="B124" s="23" t="s">
        <v>216</v>
      </c>
      <c r="C124" s="11">
        <f>SUM(Волгоград!C124,Саратов!C124,Астрахань!C124,РК!C124,Пенза!C124)</f>
        <v>0</v>
      </c>
      <c r="D124" s="11">
        <f>SUM(Волгоград!D124,Саратов!D124,Астрахань!D124,РК!D124,Пенза!D124)</f>
        <v>0</v>
      </c>
      <c r="E124" s="11">
        <f>SUM(Волгоград!E124,Саратов!E124,Астрахань!E124,РК!E124,Пенза!E124)</f>
        <v>0</v>
      </c>
    </row>
    <row r="125" spans="1:5" ht="36.75" thickBot="1" x14ac:dyDescent="0.3">
      <c r="A125" s="7" t="s">
        <v>217</v>
      </c>
      <c r="B125" s="23" t="s">
        <v>218</v>
      </c>
      <c r="C125" s="11">
        <f>SUM(Волгоград!C125,Саратов!C125,Астрахань!C125,РК!C125,Пенза!C125)</f>
        <v>291</v>
      </c>
      <c r="D125" s="11">
        <f>SUM(Волгоград!D125,Саратов!D125,Астрахань!D125,РК!D125,Пенза!D125)</f>
        <v>208</v>
      </c>
      <c r="E125" s="11">
        <f>SUM(Волгоград!E125,Саратов!E125,Астрахань!E125,РК!E125,Пенза!E125)</f>
        <v>83</v>
      </c>
    </row>
    <row r="126" spans="1:5" ht="15.75" thickBot="1" x14ac:dyDescent="0.3">
      <c r="A126" s="12" t="s">
        <v>219</v>
      </c>
      <c r="B126" s="26" t="s">
        <v>198</v>
      </c>
      <c r="C126" s="6">
        <f>SUM(Волгоград!C126,Саратов!C126,Астрахань!C126,РК!C126,Пенза!C126)</f>
        <v>219</v>
      </c>
      <c r="D126" s="6">
        <f>SUM(Волгоград!D126,Саратов!D126,Астрахань!D126,РК!D126,Пенза!D126)</f>
        <v>154</v>
      </c>
      <c r="E126" s="6">
        <f>SUM(Волгоград!E126,Саратов!E126,Астрахань!E126,РК!E126,Пенза!E126)</f>
        <v>65</v>
      </c>
    </row>
    <row r="127" spans="1:5" ht="24.75" thickBot="1" x14ac:dyDescent="0.3">
      <c r="A127" s="12" t="s">
        <v>220</v>
      </c>
      <c r="B127" s="26" t="s">
        <v>221</v>
      </c>
      <c r="C127" s="6">
        <f>SUM(Волгоград!C127,Саратов!C127,Астрахань!C127,РК!C127,Пенза!C127)</f>
        <v>72</v>
      </c>
      <c r="D127" s="6">
        <f>SUM(Волгоград!D127,Саратов!D127,Астрахань!D127,РК!D127,Пенза!D127)</f>
        <v>54</v>
      </c>
      <c r="E127" s="6">
        <f>SUM(Волгоград!E127,Саратов!E127,Астрахань!E127,РК!E127,Пенза!E127)</f>
        <v>18</v>
      </c>
    </row>
    <row r="128" spans="1:5" ht="15.75" thickBot="1" x14ac:dyDescent="0.3">
      <c r="A128" s="12"/>
      <c r="B128" s="31" t="s">
        <v>222</v>
      </c>
      <c r="C128" s="6">
        <f>SUM(Волгоград!C128,Саратов!C128,Астрахань!C128,РК!C128,Пенза!C128)</f>
        <v>0</v>
      </c>
      <c r="D128" s="6">
        <f>SUM(Волгоград!D128,Саратов!D128,Астрахань!D128,РК!D128,Пенза!D128)</f>
        <v>0</v>
      </c>
      <c r="E128" s="6">
        <f>SUM(Волгоград!E128,Саратов!E128,Астрахань!E128,РК!E128,Пенза!E128)</f>
        <v>0</v>
      </c>
    </row>
    <row r="129" spans="1:8" ht="15.75" thickBot="1" x14ac:dyDescent="0.3">
      <c r="A129" s="12" t="s">
        <v>223</v>
      </c>
      <c r="B129" s="26" t="s">
        <v>224</v>
      </c>
      <c r="C129" s="6">
        <f>SUM(Волгоград!C129,Саратов!C129,Астрахань!C129,РК!C129,Пенза!C129)</f>
        <v>0</v>
      </c>
      <c r="D129" s="6">
        <f>SUM(Волгоград!D129,Саратов!D129,Астрахань!D129,РК!D129,Пенза!D129)</f>
        <v>0</v>
      </c>
      <c r="E129" s="6">
        <f>SUM(Волгоград!E129,Саратов!E129,Астрахань!E129,РК!E129,Пенза!E129)</f>
        <v>0</v>
      </c>
    </row>
    <row r="130" spans="1:8" ht="15.75" thickBot="1" x14ac:dyDescent="0.3">
      <c r="A130" s="12" t="s">
        <v>225</v>
      </c>
      <c r="B130" s="26" t="s">
        <v>226</v>
      </c>
      <c r="C130" s="6">
        <f>SUM(Волгоград!C130,Саратов!C130,Астрахань!C130,РК!C130,Пенза!C130)</f>
        <v>0</v>
      </c>
      <c r="D130" s="6">
        <f>SUM(Волгоград!D130,Саратов!D130,Астрахань!D130,РК!D130,Пенза!D130)</f>
        <v>0</v>
      </c>
      <c r="E130" s="6">
        <f>SUM(Волгоград!E130,Саратов!E130,Астрахань!E130,РК!E130,Пенза!E130)</f>
        <v>0</v>
      </c>
    </row>
    <row r="131" spans="1:8" ht="15.75" thickBot="1" x14ac:dyDescent="0.3">
      <c r="A131" s="12" t="s">
        <v>227</v>
      </c>
      <c r="B131" s="26" t="s">
        <v>228</v>
      </c>
      <c r="C131" s="6">
        <f>SUM(Волгоград!C131,Саратов!C131,Астрахань!C131,РК!C131,Пенза!C131)</f>
        <v>68</v>
      </c>
      <c r="D131" s="6">
        <f>SUM(Волгоград!D131,Саратов!D131,Астрахань!D131,РК!D131,Пенза!D131)</f>
        <v>38</v>
      </c>
      <c r="E131" s="6">
        <f>SUM(Волгоград!E131,Саратов!E131,Астрахань!E131,РК!E131,Пенза!E131)</f>
        <v>30</v>
      </c>
    </row>
    <row r="132" spans="1:8" ht="24.75" thickBot="1" x14ac:dyDescent="0.3">
      <c r="A132" s="10" t="s">
        <v>229</v>
      </c>
      <c r="B132" s="26" t="s">
        <v>230</v>
      </c>
      <c r="C132" s="6">
        <f>SUM(Волгоград!C132,Саратов!C132,Астрахань!C132,РК!C132,Пенза!C132)</f>
        <v>223</v>
      </c>
      <c r="D132" s="6">
        <f>SUM(Волгоград!D132,Саратов!D132,Астрахань!D132,РК!D132,Пенза!D132)</f>
        <v>170</v>
      </c>
      <c r="E132" s="6">
        <f>SUM(Волгоград!E132,Саратов!E132,Астрахань!E132,РК!E132,Пенза!E132)</f>
        <v>53</v>
      </c>
    </row>
    <row r="133" spans="1:8" ht="15.75" thickBot="1" x14ac:dyDescent="0.3">
      <c r="A133" s="10" t="s">
        <v>231</v>
      </c>
      <c r="B133" s="26" t="s">
        <v>232</v>
      </c>
      <c r="C133" s="6">
        <f>SUM(Волгоград!C133,Саратов!C133,Астрахань!C133,РК!C133,Пенза!C133)</f>
        <v>0</v>
      </c>
      <c r="D133" s="6">
        <f>SUM(Волгоград!D133,Саратов!D133,Астрахань!D133,РК!D133,Пенза!D133)</f>
        <v>0</v>
      </c>
      <c r="E133" s="6">
        <f>SUM(Волгоград!E133,Саратов!E133,Астрахань!E133,РК!E133,Пенза!E133)</f>
        <v>0</v>
      </c>
    </row>
    <row r="134" spans="1:8" ht="15.75" thickBot="1" x14ac:dyDescent="0.3">
      <c r="A134" s="12" t="s">
        <v>233</v>
      </c>
      <c r="B134" s="26" t="s">
        <v>234</v>
      </c>
      <c r="C134" s="6">
        <f>SUM(Волгоград!C134,Саратов!C134,Астрахань!C134,РК!C134,Пенза!C134)</f>
        <v>98</v>
      </c>
      <c r="D134" s="6">
        <f>SUM(Волгоград!D134,Саратов!D134,Астрахань!D134,РК!D134,Пенза!D134)</f>
        <v>74</v>
      </c>
      <c r="E134" s="6">
        <f>SUM(Волгоград!E134,Саратов!E134,Астрахань!E134,РК!E134,Пенза!E134)</f>
        <v>24</v>
      </c>
    </row>
    <row r="135" spans="1:8" ht="15.75" thickBot="1" x14ac:dyDescent="0.3">
      <c r="A135" s="12" t="s">
        <v>235</v>
      </c>
      <c r="B135" s="26" t="s">
        <v>236</v>
      </c>
      <c r="C135" s="6">
        <f>SUM(Волгоград!C135,Саратов!C135,Астрахань!C135,РК!C135,Пенза!C135)</f>
        <v>0</v>
      </c>
      <c r="D135" s="6">
        <f>SUM(Волгоград!D135,Саратов!D135,Астрахань!D135,РК!D135,Пенза!D135)</f>
        <v>0</v>
      </c>
      <c r="E135" s="6">
        <f>SUM(Волгоград!E135,Саратов!E135,Астрахань!E135,РК!E135,Пенза!E135)</f>
        <v>0</v>
      </c>
    </row>
    <row r="136" spans="1:8" ht="15.75" thickBot="1" x14ac:dyDescent="0.3">
      <c r="A136" s="12" t="s">
        <v>237</v>
      </c>
      <c r="B136" s="26" t="s">
        <v>238</v>
      </c>
      <c r="C136" s="6">
        <f>SUM(Волгоград!C136,Саратов!C136,Астрахань!C136,РК!C136,Пенза!C136)</f>
        <v>125</v>
      </c>
      <c r="D136" s="6">
        <f>SUM(Волгоград!D136,Саратов!D136,Астрахань!D136,РК!D136,Пенза!D136)</f>
        <v>96</v>
      </c>
      <c r="E136" s="6">
        <f>SUM(Волгоград!E136,Саратов!E136,Астрахань!E136,РК!E136,Пенза!E136)</f>
        <v>29</v>
      </c>
    </row>
    <row r="137" spans="1:8" ht="24.75" thickBot="1" x14ac:dyDescent="0.3">
      <c r="A137" s="7" t="s">
        <v>239</v>
      </c>
      <c r="B137" s="23" t="s">
        <v>240</v>
      </c>
      <c r="C137" s="11">
        <f>SUM(Волгоград!C137,Саратов!C137,Астрахань!C137,РК!C137,Пенза!C137)</f>
        <v>177</v>
      </c>
      <c r="D137" s="11">
        <f>SUM(Волгоград!D137,Саратов!D137,Астрахань!D137,РК!D137,Пенза!D137)</f>
        <v>134</v>
      </c>
      <c r="E137" s="11">
        <f>SUM(Волгоград!E137,Саратов!E137,Астрахань!E137,РК!E137,Пенза!E137)</f>
        <v>43</v>
      </c>
    </row>
    <row r="138" spans="1:8" ht="15.75" thickBot="1" x14ac:dyDescent="0.3">
      <c r="A138" s="12" t="s">
        <v>241</v>
      </c>
      <c r="B138" s="26" t="s">
        <v>242</v>
      </c>
      <c r="C138" s="6">
        <f>SUM(Волгоград!C138,Саратов!C138,Астрахань!C138,РК!C138,Пенза!C138)</f>
        <v>0</v>
      </c>
      <c r="D138" s="6">
        <f>SUM(Волгоград!D138,Саратов!D138,Астрахань!D138,РК!D138,Пенза!D138)</f>
        <v>0</v>
      </c>
      <c r="E138" s="6">
        <f>SUM(Волгоград!E138,Саратов!E138,Астрахань!E138,РК!E138,Пенза!E138)</f>
        <v>0</v>
      </c>
    </row>
    <row r="139" spans="1:8" ht="15.75" thickBot="1" x14ac:dyDescent="0.3">
      <c r="A139" s="12" t="s">
        <v>243</v>
      </c>
      <c r="B139" s="26" t="s">
        <v>244</v>
      </c>
      <c r="C139" s="6">
        <f>SUM(Волгоград!C139,Саратов!C139,Астрахань!C139,РК!C139,Пенза!C139)</f>
        <v>78</v>
      </c>
      <c r="D139" s="6">
        <f>SUM(Волгоград!D139,Саратов!D139,Астрахань!D139,РК!D139,Пенза!D139)</f>
        <v>55</v>
      </c>
      <c r="E139" s="6">
        <f>SUM(Волгоград!E139,Саратов!E139,Астрахань!E139,РК!E139,Пенза!E139)</f>
        <v>23</v>
      </c>
    </row>
    <row r="140" spans="1:8" ht="15.75" thickBot="1" x14ac:dyDescent="0.3">
      <c r="A140" s="12" t="s">
        <v>245</v>
      </c>
      <c r="B140" s="26" t="s">
        <v>246</v>
      </c>
      <c r="C140" s="6">
        <f>SUM(Волгоград!C140,Саратов!C140,Астрахань!C140,РК!C140,Пенза!C140)</f>
        <v>0</v>
      </c>
      <c r="D140" s="6">
        <f>SUM(Волгоград!D140,Саратов!D140,Астрахань!D140,РК!D140,Пенза!D140)</f>
        <v>0</v>
      </c>
      <c r="E140" s="6">
        <f>SUM(Волгоград!E140,Саратов!E140,Астрахань!E140,РК!E140,Пенза!E140)</f>
        <v>0</v>
      </c>
    </row>
    <row r="141" spans="1:8" ht="15.75" thickBot="1" x14ac:dyDescent="0.3">
      <c r="A141" s="12" t="s">
        <v>247</v>
      </c>
      <c r="B141" s="26" t="s">
        <v>248</v>
      </c>
      <c r="C141" s="6">
        <f>SUM(Волгоград!C141,Саратов!C141,Астрахань!C141,РК!C141,Пенза!C141)</f>
        <v>103</v>
      </c>
      <c r="D141" s="6">
        <f>SUM(Волгоград!D141,Саратов!D141,Астрахань!D141,РК!D141,Пенза!D141)</f>
        <v>83</v>
      </c>
      <c r="E141" s="6">
        <f>SUM(Волгоград!E141,Саратов!E141,Астрахань!E141,РК!E141,Пенза!E141)</f>
        <v>20</v>
      </c>
    </row>
    <row r="142" spans="1:8" ht="36.75" thickBot="1" x14ac:dyDescent="0.3">
      <c r="A142" s="7" t="s">
        <v>249</v>
      </c>
      <c r="B142" s="23" t="s">
        <v>250</v>
      </c>
      <c r="C142" s="11">
        <f>SUM(Волгоград!C142,Саратов!C142,Астрахань!C142,РК!C142,Пенза!C142)</f>
        <v>15274</v>
      </c>
      <c r="D142" s="11">
        <f>SUM(Волгоград!D142,Саратов!D142,Астрахань!D142,РК!D142,Пенза!D142)</f>
        <v>11524</v>
      </c>
      <c r="E142" s="11">
        <f>SUM(Волгоград!E142,Саратов!E142,Астрахань!E142,РК!E142,Пенза!E142)</f>
        <v>3750</v>
      </c>
    </row>
    <row r="143" spans="1:8" ht="15.75" thickBot="1" x14ac:dyDescent="0.3">
      <c r="A143" s="12" t="s">
        <v>251</v>
      </c>
      <c r="B143" s="26" t="s">
        <v>198</v>
      </c>
      <c r="C143" s="6">
        <f>SUM(Волгоград!C143,Саратов!C143,Астрахань!C143,РК!C143,Пенза!C143)</f>
        <v>10486</v>
      </c>
      <c r="D143" s="6">
        <f>SUM(Волгоград!D143,Саратов!D143,Астрахань!D143,РК!D143,Пенза!D143)</f>
        <v>7730</v>
      </c>
      <c r="E143" s="6">
        <f>SUM(Волгоград!E143,Саратов!E143,Астрахань!E143,РК!E143,Пенза!E143)</f>
        <v>2756</v>
      </c>
    </row>
    <row r="144" spans="1:8" ht="24.75" thickBot="1" x14ac:dyDescent="0.3">
      <c r="A144" s="12" t="s">
        <v>252</v>
      </c>
      <c r="B144" s="26" t="s">
        <v>253</v>
      </c>
      <c r="C144" s="6">
        <f>SUM(Волгоград!C144,Саратов!C144,Астрахань!C144,РК!C144,Пенза!C144)</f>
        <v>4788</v>
      </c>
      <c r="D144" s="6">
        <f>SUM(Волгоград!D144,Саратов!D144,Астрахань!D144,РК!D144,Пенза!D144)</f>
        <v>3994</v>
      </c>
      <c r="E144" s="6">
        <f>SUM(Волгоград!E144,Саратов!E144,Астрахань!E144,РК!E144,Пенза!E144)</f>
        <v>794</v>
      </c>
      <c r="G144" s="88"/>
      <c r="H144" s="88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>
        <f>SUM(Волгоград!C146,Саратов!C146,Астрахань!C146,РК!C146,Пенза!C146)</f>
        <v>0</v>
      </c>
      <c r="D146" s="6">
        <f>SUM(Волгоград!D146,Саратов!D146,Астрахань!D146,РК!D146,Пенза!D146)</f>
        <v>0</v>
      </c>
      <c r="E146" s="6">
        <f>SUM(Волгоград!E146,Саратов!E146,Астрахань!E146,РК!E146,Пенза!E146)</f>
        <v>0</v>
      </c>
    </row>
    <row r="147" spans="1:5" ht="15.75" thickBot="1" x14ac:dyDescent="0.3">
      <c r="A147" s="12" t="s">
        <v>257</v>
      </c>
      <c r="B147" s="26" t="s">
        <v>258</v>
      </c>
      <c r="C147" s="6">
        <f>SUM(Волгоград!C147,Саратов!C147,Астрахань!C147,РК!C147,Пенза!C147)</f>
        <v>2145</v>
      </c>
      <c r="D147" s="6">
        <f>SUM(Волгоград!D147,Саратов!D147,Астрахань!D147,РК!D147,Пенза!D147)</f>
        <v>1654</v>
      </c>
      <c r="E147" s="6">
        <f>SUM(Волгоград!E147,Саратов!E147,Астрахань!E147,РК!E147,Пенза!E147)</f>
        <v>491</v>
      </c>
    </row>
    <row r="148" spans="1:5" ht="15.75" thickBot="1" x14ac:dyDescent="0.3">
      <c r="A148" s="12" t="s">
        <v>259</v>
      </c>
      <c r="B148" s="26" t="s">
        <v>260</v>
      </c>
      <c r="C148" s="6">
        <f>SUM(Волгоград!C148,Саратов!C148,Астрахань!C148,РК!C148,Пенза!C148)</f>
        <v>0</v>
      </c>
      <c r="D148" s="6">
        <f>SUM(Волгоград!D148,Саратов!D148,Астрахань!D148,РК!D148,Пенза!D148)</f>
        <v>0</v>
      </c>
      <c r="E148" s="6">
        <f>SUM(Волгоград!E148,Саратов!E148,Астрахань!E148,РК!E148,Пенза!E148)</f>
        <v>0</v>
      </c>
    </row>
    <row r="149" spans="1:5" ht="15.75" thickBot="1" x14ac:dyDescent="0.3">
      <c r="A149" s="12" t="s">
        <v>261</v>
      </c>
      <c r="B149" s="26" t="s">
        <v>262</v>
      </c>
      <c r="C149" s="6">
        <f>SUM(Волгоград!C149,Саратов!C149,Астрахань!C149,РК!C149,Пенза!C149)</f>
        <v>13129</v>
      </c>
      <c r="D149" s="6">
        <f>SUM(Волгоград!D149,Саратов!D149,Астрахань!D149,РК!D149,Пенза!D149)</f>
        <v>9870</v>
      </c>
      <c r="E149" s="6">
        <f>SUM(Волгоград!E149,Саратов!E149,Астрахань!E149,РК!E149,Пенза!E149)</f>
        <v>3259</v>
      </c>
    </row>
    <row r="150" spans="1:5" ht="24.75" thickBot="1" x14ac:dyDescent="0.3">
      <c r="A150" s="7" t="s">
        <v>263</v>
      </c>
      <c r="B150" s="23" t="s">
        <v>264</v>
      </c>
      <c r="C150" s="11">
        <f>SUM(Волгоград!C150,Саратов!C150,Астрахань!C150,РК!C150,Пенза!C150)</f>
        <v>11627</v>
      </c>
      <c r="D150" s="11">
        <f>SUM(Волгоград!D150,Саратов!D150,Астрахань!D150,РК!D150,Пенза!D150)</f>
        <v>9433</v>
      </c>
      <c r="E150" s="11">
        <f>SUM(Волгоград!E150,Саратов!E150,Астрахань!E150,РК!E150,Пенза!E150)</f>
        <v>2194</v>
      </c>
    </row>
    <row r="151" spans="1:5" ht="15.75" thickBot="1" x14ac:dyDescent="0.3">
      <c r="A151" s="12" t="s">
        <v>265</v>
      </c>
      <c r="B151" s="26" t="s">
        <v>242</v>
      </c>
      <c r="C151" s="6">
        <f>SUM(Волгоград!C151,Саратов!C151,Астрахань!C151,РК!C151,Пенза!C151)</f>
        <v>0</v>
      </c>
      <c r="D151" s="6">
        <f>SUM(Волгоград!D151,Саратов!D151,Астрахань!D151,РК!D151,Пенза!D151)</f>
        <v>0</v>
      </c>
      <c r="E151" s="6">
        <f>SUM(Волгоград!E151,Саратов!E151,Астрахань!E151,РК!E151,Пенза!E151)</f>
        <v>0</v>
      </c>
    </row>
    <row r="152" spans="1:5" ht="15.75" thickBot="1" x14ac:dyDescent="0.3">
      <c r="A152" s="12" t="s">
        <v>266</v>
      </c>
      <c r="B152" s="26" t="s">
        <v>244</v>
      </c>
      <c r="C152" s="6">
        <f>SUM(Волгоград!C152,Саратов!C152,Астрахань!C152,РК!C152,Пенза!C152)</f>
        <v>1865</v>
      </c>
      <c r="D152" s="6">
        <f>SUM(Волгоград!D152,Саратов!D152,Астрахань!D152,РК!D152,Пенза!D152)</f>
        <v>1450</v>
      </c>
      <c r="E152" s="6">
        <f>SUM(Волгоград!E152,Саратов!E152,Астрахань!E152,РК!E152,Пенза!E152)</f>
        <v>415</v>
      </c>
    </row>
    <row r="153" spans="1:5" ht="15.75" thickBot="1" x14ac:dyDescent="0.3">
      <c r="A153" s="12" t="s">
        <v>267</v>
      </c>
      <c r="B153" s="26" t="s">
        <v>246</v>
      </c>
      <c r="C153" s="6">
        <f>SUM(Волгоград!C153,Саратов!C153,Астрахань!C153,РК!C153,Пенза!C153)</f>
        <v>0</v>
      </c>
      <c r="D153" s="6">
        <f>SUM(Волгоград!D153,Саратов!D153,Астрахань!D153,РК!D153,Пенза!D153)</f>
        <v>0</v>
      </c>
      <c r="E153" s="6">
        <f>SUM(Волгоград!E153,Саратов!E153,Астрахань!E153,РК!E153,Пенза!E153)</f>
        <v>0</v>
      </c>
    </row>
    <row r="154" spans="1:5" ht="15.75" thickBot="1" x14ac:dyDescent="0.3">
      <c r="A154" s="12" t="s">
        <v>268</v>
      </c>
      <c r="B154" s="26" t="s">
        <v>248</v>
      </c>
      <c r="C154" s="6">
        <f>SUM(Волгоград!C154,Саратов!C154,Астрахань!C154,РК!C154,Пенза!C154)</f>
        <v>9762</v>
      </c>
      <c r="D154" s="6">
        <f>SUM(Волгоград!D154,Саратов!D154,Астрахань!D154,РК!D154,Пенза!D154)</f>
        <v>7983</v>
      </c>
      <c r="E154" s="6">
        <f>SUM(Волгоград!E154,Саратов!E154,Астрахань!E154,РК!E154,Пенза!E154)</f>
        <v>1779</v>
      </c>
    </row>
    <row r="155" spans="1:5" ht="36.75" thickBot="1" x14ac:dyDescent="0.3">
      <c r="A155" s="7" t="s">
        <v>269</v>
      </c>
      <c r="B155" s="23" t="s">
        <v>270</v>
      </c>
      <c r="C155" s="11">
        <f>SUM(Волгоград!C155,Саратов!C155,Астрахань!C155,РК!C155,Пенза!C155)</f>
        <v>199</v>
      </c>
      <c r="D155" s="11">
        <f>SUM(Волгоград!D155,Саратов!D155,Астрахань!D155,РК!D155,Пенза!D155)</f>
        <v>127</v>
      </c>
      <c r="E155" s="11">
        <f>SUM(Волгоград!E155,Саратов!E155,Астрахань!E155,РК!E155,Пенза!E155)</f>
        <v>72</v>
      </c>
    </row>
    <row r="156" spans="1:5" ht="15.75" thickBot="1" x14ac:dyDescent="0.3">
      <c r="A156" s="35" t="s">
        <v>271</v>
      </c>
      <c r="B156" s="24" t="s">
        <v>198</v>
      </c>
      <c r="C156" s="6">
        <f>SUM(Волгоград!C156,Саратов!C156,Астрахань!C156,РК!C156,Пенза!C156)</f>
        <v>120</v>
      </c>
      <c r="D156" s="6">
        <f>SUM(Волгоград!D156,Саратов!D156,Астрахань!D156,РК!D156,Пенза!D156)</f>
        <v>74</v>
      </c>
      <c r="E156" s="6">
        <f>SUM(Волгоград!E156,Саратов!E156,Астрахань!E156,РК!E156,Пенза!E156)</f>
        <v>46</v>
      </c>
    </row>
    <row r="157" spans="1:5" ht="24.75" thickBot="1" x14ac:dyDescent="0.3">
      <c r="A157" s="35" t="s">
        <v>272</v>
      </c>
      <c r="B157" s="24" t="s">
        <v>253</v>
      </c>
      <c r="C157" s="6">
        <f>SUM(Волгоград!C157,Саратов!C157,Астрахань!C157,РК!C157,Пенза!C157)</f>
        <v>80</v>
      </c>
      <c r="D157" s="6">
        <f>SUM(Волгоград!D157,Саратов!D157,Астрахань!D157,РК!D157,Пенза!D157)</f>
        <v>54</v>
      </c>
      <c r="E157" s="6">
        <f>SUM(Волгоград!E157,Саратов!E157,Астрахань!E157,РК!E157,Пенза!E157)</f>
        <v>26</v>
      </c>
    </row>
    <row r="158" spans="1:5" ht="15.75" thickBot="1" x14ac:dyDescent="0.3">
      <c r="A158" s="35" t="s">
        <v>273</v>
      </c>
      <c r="B158" s="24" t="s">
        <v>274</v>
      </c>
      <c r="C158" s="16">
        <f>SUM(Волгоград!C158,Саратов!C158,Астрахань!C158,РК!C158,Пенза!C158)</f>
        <v>119</v>
      </c>
      <c r="D158" s="16">
        <f>SUM(Волгоград!D158,Саратов!D158,Астрахань!D158,РК!D158,Пенза!D158)</f>
        <v>72</v>
      </c>
      <c r="E158" s="16">
        <f>SUM(Волгоград!E158,Саратов!E158,Астрахань!E158,РК!E158,Пенза!E158)</f>
        <v>47</v>
      </c>
    </row>
    <row r="159" spans="1:5" ht="15.75" thickBot="1" x14ac:dyDescent="0.3">
      <c r="A159" s="35" t="s">
        <v>275</v>
      </c>
      <c r="B159" s="24" t="s">
        <v>276</v>
      </c>
      <c r="C159" s="16">
        <f>SUM(Волгоград!C159,Саратов!C159,Астрахань!C159,РК!C159,Пенза!C159)</f>
        <v>82</v>
      </c>
      <c r="D159" s="16">
        <f>SUM(Волгоград!D159,Саратов!D159,Астрахань!D159,РК!D159,Пенза!D159)</f>
        <v>53</v>
      </c>
      <c r="E159" s="16">
        <f>SUM(Волгоград!E159,Саратов!E159,Астрахань!E159,РК!E159,Пенза!E159)</f>
        <v>29</v>
      </c>
    </row>
    <row r="160" spans="1:5" ht="15.75" thickBot="1" x14ac:dyDescent="0.3">
      <c r="A160" s="35" t="s">
        <v>277</v>
      </c>
      <c r="B160" s="24" t="s">
        <v>278</v>
      </c>
      <c r="C160" s="16">
        <f>SUM(Волгоград!C160,Саратов!C160,Астрахань!C160,РК!C160,Пенза!C160)</f>
        <v>0</v>
      </c>
      <c r="D160" s="16">
        <f>SUM(Волгоград!D160,Саратов!D160,Астрахань!D160,РК!D160,Пенза!D160)</f>
        <v>0</v>
      </c>
      <c r="E160" s="16">
        <f>SUM(Волгоград!E160,Саратов!E160,Астрахань!E160,РК!E160,Пенза!E160)</f>
        <v>0</v>
      </c>
    </row>
    <row r="161" spans="1:5" ht="15.75" thickBot="1" x14ac:dyDescent="0.3">
      <c r="A161" s="35"/>
      <c r="B161" s="30" t="s">
        <v>279</v>
      </c>
      <c r="C161" s="6">
        <f>SUM(Волгоград!C161,Саратов!C161,Астрахань!C161,РК!C161,Пенза!C161)</f>
        <v>0</v>
      </c>
      <c r="D161" s="6">
        <f>SUM(Волгоград!D161,Саратов!D161,Астрахань!D161,РК!D161,Пенза!D161)</f>
        <v>0</v>
      </c>
      <c r="E161" s="6">
        <f>SUM(Волгоград!E161,Саратов!E161,Астрахань!E161,РК!E161,Пенза!E161)</f>
        <v>0</v>
      </c>
    </row>
    <row r="162" spans="1:5" ht="15.75" thickBot="1" x14ac:dyDescent="0.3">
      <c r="A162" s="35" t="s">
        <v>280</v>
      </c>
      <c r="B162" s="24" t="s">
        <v>281</v>
      </c>
      <c r="C162" s="6">
        <f>SUM(Волгоград!C162,Саратов!C162,Астрахань!C162,РК!C162,Пенза!C162)</f>
        <v>151</v>
      </c>
      <c r="D162" s="6">
        <f>SUM(Волгоград!D162,Саратов!D162,Астрахань!D162,РК!D162,Пенза!D162)</f>
        <v>98</v>
      </c>
      <c r="E162" s="6">
        <f>SUM(Волгоград!E162,Саратов!E162,Астрахань!E162,РК!E162,Пенза!E162)</f>
        <v>53</v>
      </c>
    </row>
    <row r="163" spans="1:5" ht="15.75" thickBot="1" x14ac:dyDescent="0.3">
      <c r="A163" s="35" t="s">
        <v>282</v>
      </c>
      <c r="B163" s="24" t="s">
        <v>283</v>
      </c>
      <c r="C163" s="6">
        <f>SUM(Волгоград!C163,Саратов!C163,Астрахань!C163,РК!C163,Пенза!C163)</f>
        <v>48</v>
      </c>
      <c r="D163" s="6">
        <f>SUM(Волгоград!D163,Саратов!D163,Астрахань!D163,РК!D163,Пенза!D163)</f>
        <v>29</v>
      </c>
      <c r="E163" s="6">
        <f>SUM(Волгоград!E163,Саратов!E163,Астрахань!E163,РК!E163,Пенза!E163)</f>
        <v>19</v>
      </c>
    </row>
    <row r="164" spans="1:5" ht="24.75" thickBot="1" x14ac:dyDescent="0.3">
      <c r="A164" s="7" t="s">
        <v>284</v>
      </c>
      <c r="B164" s="23" t="s">
        <v>285</v>
      </c>
      <c r="C164" s="11">
        <f>SUM(Волгоград!C164,Саратов!C164,Астрахань!C164,РК!C164,Пенза!C164)</f>
        <v>198</v>
      </c>
      <c r="D164" s="11">
        <f>SUM(Волгоград!D164,Саратов!D164,Астрахань!D164,РК!D164,Пенза!D164)</f>
        <v>117</v>
      </c>
      <c r="E164" s="11">
        <f>SUM(Волгоград!E164,Саратов!E164,Астрахань!E164,РК!E164,Пенза!E164)</f>
        <v>81</v>
      </c>
    </row>
    <row r="165" spans="1:5" ht="24.75" thickBot="1" x14ac:dyDescent="0.3">
      <c r="A165" s="12" t="s">
        <v>286</v>
      </c>
      <c r="B165" s="26" t="s">
        <v>287</v>
      </c>
      <c r="C165" s="6">
        <f>SUM(Волгоград!C165,Саратов!C165,Астрахань!C165,РК!C165,Пенза!C165)</f>
        <v>65</v>
      </c>
      <c r="D165" s="6">
        <f>SUM(Волгоград!D165,Саратов!D165,Астрахань!D165,РК!D165,Пенза!D165)</f>
        <v>40</v>
      </c>
      <c r="E165" s="6">
        <f>SUM(Волгоград!E165,Саратов!E165,Астрахань!E165,РК!E165,Пенза!E165)</f>
        <v>25</v>
      </c>
    </row>
    <row r="166" spans="1:5" ht="24.75" thickBot="1" x14ac:dyDescent="0.3">
      <c r="A166" s="7" t="s">
        <v>288</v>
      </c>
      <c r="B166" s="23" t="s">
        <v>289</v>
      </c>
      <c r="C166" s="11">
        <f>SUM(Волгоград!C166,Саратов!C166,Астрахань!C166,РК!C166,Пенза!C166)</f>
        <v>43</v>
      </c>
      <c r="D166" s="11">
        <f>SUM(Волгоград!D166,Саратов!D166,Астрахань!D166,РК!D166,Пенза!D166)</f>
        <v>30</v>
      </c>
      <c r="E166" s="11">
        <f>SUM(Волгоград!E166,Саратов!E166,Астрахань!E166,РК!E166,Пенза!E166)</f>
        <v>13</v>
      </c>
    </row>
    <row r="167" spans="1:5" ht="24.75" thickBot="1" x14ac:dyDescent="0.3">
      <c r="A167" s="12" t="s">
        <v>291</v>
      </c>
      <c r="B167" s="26" t="s">
        <v>292</v>
      </c>
      <c r="C167" s="6">
        <f>SUM(Волгоград!C167,Саратов!C167,Астрахань!C167,РК!C167,Пенза!C167)</f>
        <v>39</v>
      </c>
      <c r="D167" s="6">
        <f>SUM(Волгоград!D167,Саратов!D167,Астрахань!D167,РК!D167,Пенза!D167)</f>
        <v>26</v>
      </c>
      <c r="E167" s="6">
        <f>SUM(Волгоград!E167,Саратов!E167,Астрахань!E167,РК!E167,Пенза!E167)</f>
        <v>13</v>
      </c>
    </row>
    <row r="168" spans="1:5" ht="24.75" thickBot="1" x14ac:dyDescent="0.3">
      <c r="A168" s="7" t="s">
        <v>293</v>
      </c>
      <c r="B168" s="23" t="s">
        <v>294</v>
      </c>
      <c r="C168" s="11">
        <f>SUM(Волгоград!C168,Саратов!C168,Астрахань!C168,РК!C168,Пенза!C168)</f>
        <v>0</v>
      </c>
      <c r="D168" s="11">
        <f>SUM(Волгоград!D168,Саратов!D168,Астрахань!D168,РК!D168,Пенза!D168)</f>
        <v>0</v>
      </c>
      <c r="E168" s="11">
        <f>SUM(Волгоград!E168,Саратов!E168,Астрахань!E168,РК!E168,Пенза!E168)</f>
        <v>0</v>
      </c>
    </row>
    <row r="169" spans="1:5" ht="15.75" thickBot="1" x14ac:dyDescent="0.3">
      <c r="A169" s="12" t="s">
        <v>295</v>
      </c>
      <c r="B169" s="26" t="s">
        <v>296</v>
      </c>
      <c r="C169" s="6">
        <f>SUM(Волгоград!C169,Саратов!C169,Астрахань!C169,РК!C169,Пенза!C169)</f>
        <v>0</v>
      </c>
      <c r="D169" s="6">
        <f>SUM(Волгоград!D169,Саратов!D169,Астрахань!D169,РК!D169,Пенза!D169)</f>
        <v>0</v>
      </c>
      <c r="E169" s="6">
        <f>SUM(Волгоград!E169,Саратов!E169,Астрахань!E169,РК!E169,Пенза!E169)</f>
        <v>0</v>
      </c>
    </row>
    <row r="170" spans="1:5" ht="15.75" thickBot="1" x14ac:dyDescent="0.3">
      <c r="A170" s="12" t="s">
        <v>297</v>
      </c>
      <c r="B170" s="26" t="s">
        <v>298</v>
      </c>
      <c r="C170" s="6">
        <f>SUM(Волгоград!C170,Саратов!C170,Астрахань!C170,РК!C170,Пенза!C170)</f>
        <v>0</v>
      </c>
      <c r="D170" s="6">
        <f>SUM(Волгоград!D170,Саратов!D170,Астрахань!D170,РК!D170,Пенза!D170)</f>
        <v>0</v>
      </c>
      <c r="E170" s="6">
        <f>SUM(Волгоград!E170,Саратов!E170,Астрахань!E170,РК!E170,Пенза!E170)</f>
        <v>0</v>
      </c>
    </row>
    <row r="171" spans="1:5" ht="24.75" thickBot="1" x14ac:dyDescent="0.3">
      <c r="A171" s="12" t="s">
        <v>299</v>
      </c>
      <c r="B171" s="26" t="s">
        <v>300</v>
      </c>
      <c r="C171" s="6">
        <f>SUM(Волгоград!C171,Саратов!C171,Астрахань!C171,РК!C171,Пенза!C171)</f>
        <v>0</v>
      </c>
      <c r="D171" s="6">
        <f>SUM(Волгоград!D171,Саратов!D171,Астрахань!D171,РК!D171,Пенза!D171)</f>
        <v>0</v>
      </c>
      <c r="E171" s="6">
        <f>SUM(Волгоград!E171,Саратов!E171,Астрахань!E171,РК!E171,Пенза!E171)</f>
        <v>0</v>
      </c>
    </row>
    <row r="172" spans="1:5" ht="24.75" thickBot="1" x14ac:dyDescent="0.3">
      <c r="A172" s="7" t="s">
        <v>301</v>
      </c>
      <c r="B172" s="23" t="s">
        <v>302</v>
      </c>
      <c r="C172" s="11">
        <f>SUM(Волгоград!C172,Саратов!C172,Астрахань!C172,РК!C172,Пенза!C172)</f>
        <v>0</v>
      </c>
      <c r="D172" s="11">
        <f>SUM(Волгоград!D172,Саратов!D172,Астрахань!D172,РК!D172,Пенза!D172)</f>
        <v>0</v>
      </c>
      <c r="E172" s="11">
        <f>SUM(Волгоград!E172,Саратов!E172,Астрахань!E172,РК!E172,Пенза!E172)</f>
        <v>0</v>
      </c>
    </row>
    <row r="173" spans="1:5" ht="24.75" thickBot="1" x14ac:dyDescent="0.3">
      <c r="A173" s="35" t="s">
        <v>303</v>
      </c>
      <c r="B173" s="24" t="s">
        <v>304</v>
      </c>
      <c r="C173" s="17">
        <f>SUM(Волгоград!C173,Саратов!C173,Астрахань!C173,РК!C173,Пенза!C173)</f>
        <v>0</v>
      </c>
      <c r="D173" s="17">
        <f>SUM(Волгоград!D173,Саратов!D173,Астрахань!D173,РК!D173,Пенза!D173)</f>
        <v>0</v>
      </c>
      <c r="E173" s="17">
        <f>SUM(Волгоград!E173,Саратов!E173,Астрахань!E173,РК!E173,Пенза!E173)</f>
        <v>0</v>
      </c>
    </row>
    <row r="174" spans="1:5" ht="24.75" thickBot="1" x14ac:dyDescent="0.3">
      <c r="A174" s="7" t="s">
        <v>305</v>
      </c>
      <c r="B174" s="23" t="s">
        <v>306</v>
      </c>
      <c r="C174" s="11">
        <f>SUM(Волгоград!C174,Саратов!C174,Астрахань!C174,РК!C174,Пенза!C174)</f>
        <v>0</v>
      </c>
      <c r="D174" s="11">
        <f>SUM(Волгоград!D174,Саратов!D174,Астрахань!D174,РК!D174,Пенза!D174)</f>
        <v>0</v>
      </c>
      <c r="E174" s="11">
        <f>SUM(Волгоград!E174,Саратов!E174,Астрахань!E174,РК!E174,Пенза!E174)</f>
        <v>0</v>
      </c>
    </row>
    <row r="175" spans="1:5" ht="36.75" thickBot="1" x14ac:dyDescent="0.3">
      <c r="A175" s="7" t="s">
        <v>307</v>
      </c>
      <c r="B175" s="23" t="s">
        <v>308</v>
      </c>
      <c r="C175" s="11">
        <f>SUM(Волгоград!C175,Саратов!C175,Астрахань!C175,РК!C175,Пенза!C175)</f>
        <v>1</v>
      </c>
      <c r="D175" s="11">
        <f>SUM(Волгоград!D175,Саратов!D175,Астрахань!D175,РК!D175,Пенза!D175)</f>
        <v>1</v>
      </c>
      <c r="E175" s="11">
        <f>SUM(Волгоград!E175,Саратов!E175,Астрахань!E175,РК!E175,Пенза!E175)</f>
        <v>0</v>
      </c>
    </row>
    <row r="176" spans="1:5" ht="36.75" thickBot="1" x14ac:dyDescent="0.3">
      <c r="A176" s="12" t="s">
        <v>309</v>
      </c>
      <c r="B176" s="26" t="s">
        <v>310</v>
      </c>
      <c r="C176" s="6">
        <f>SUM(Волгоград!C176,Саратов!C176,Астрахань!C176,РК!C176,Пенза!C176)</f>
        <v>0</v>
      </c>
      <c r="D176" s="6">
        <f>SUM(Волгоград!D176,Саратов!D176,Астрахань!D176,РК!D176,Пенза!D176)</f>
        <v>0</v>
      </c>
      <c r="E176" s="6">
        <f>SUM(Волгоград!E176,Саратов!E176,Астрахань!E176,РК!E176,Пенза!E176)</f>
        <v>0</v>
      </c>
    </row>
    <row r="177" spans="1:5" ht="48.75" thickBot="1" x14ac:dyDescent="0.3">
      <c r="A177" s="7" t="s">
        <v>311</v>
      </c>
      <c r="B177" s="23" t="s">
        <v>312</v>
      </c>
      <c r="C177" s="11">
        <f>SUM(Волгоград!C177,Саратов!C177,Астрахань!C177,РК!C177,Пенза!C177)</f>
        <v>0</v>
      </c>
      <c r="D177" s="11">
        <f>SUM(Волгоград!D177,Саратов!D177,Астрахань!D177,РК!D177,Пенза!D177)</f>
        <v>0</v>
      </c>
      <c r="E177" s="11">
        <f>SUM(Волгоград!E177,Саратов!E177,Астрахань!E177,РК!E177,Пенза!E177)</f>
        <v>0</v>
      </c>
    </row>
    <row r="178" spans="1:5" ht="36.75" thickBot="1" x14ac:dyDescent="0.3">
      <c r="A178" s="7" t="s">
        <v>313</v>
      </c>
      <c r="B178" s="23" t="s">
        <v>314</v>
      </c>
      <c r="C178" s="11">
        <f>SUM(Волгоград!C178,Саратов!C178,Астрахань!C178,РК!C178,Пенза!C178)</f>
        <v>0</v>
      </c>
      <c r="D178" s="11">
        <f>SUM(Волгоград!D178,Саратов!D178,Астрахань!D178,РК!D178,Пенза!D178)</f>
        <v>0</v>
      </c>
      <c r="E178" s="11">
        <f>SUM(Волгоград!E178,Саратов!E178,Астрахань!E178,РК!E178,Пенза!E178)</f>
        <v>0</v>
      </c>
    </row>
    <row r="179" spans="1:5" ht="36.75" thickBot="1" x14ac:dyDescent="0.3">
      <c r="A179" s="12" t="s">
        <v>315</v>
      </c>
      <c r="B179" s="26" t="s">
        <v>316</v>
      </c>
      <c r="C179" s="6">
        <f>SUM(Волгоград!C179,Саратов!C179,Астрахань!C179,РК!C179,Пенза!C179)</f>
        <v>0</v>
      </c>
      <c r="D179" s="6">
        <f>SUM(Волгоград!D179,Саратов!D179,Астрахань!D179,РК!D179,Пенза!D179)</f>
        <v>0</v>
      </c>
      <c r="E179" s="6">
        <f>SUM(Волгоград!E179,Саратов!E179,Астрахань!E179,РК!E179,Пенза!E179)</f>
        <v>0</v>
      </c>
    </row>
    <row r="180" spans="1:5" ht="24.75" thickBot="1" x14ac:dyDescent="0.3">
      <c r="A180" s="7" t="s">
        <v>317</v>
      </c>
      <c r="B180" s="23" t="s">
        <v>318</v>
      </c>
      <c r="C180" s="11">
        <f>SUM(Волгоград!C180,Саратов!C180,Астрахань!C180,РК!C180,Пенза!C180)</f>
        <v>12</v>
      </c>
      <c r="D180" s="11">
        <f>SUM(Волгоград!D180,Саратов!D180,Астрахань!D180,РК!D180,Пенза!D180)</f>
        <v>0</v>
      </c>
      <c r="E180" s="11">
        <f>SUM(Волгоград!E180,Саратов!E180,Астрахань!E180,РК!E180,Пенза!E180)</f>
        <v>0</v>
      </c>
    </row>
    <row r="181" spans="1:5" ht="15.75" thickBot="1" x14ac:dyDescent="0.3">
      <c r="A181" s="12" t="s">
        <v>319</v>
      </c>
      <c r="B181" s="26" t="s">
        <v>320</v>
      </c>
      <c r="C181" s="6">
        <f>SUM(Волгоград!C181,Саратов!C181,Астрахань!C181,РК!C181,Пенза!C181)</f>
        <v>12</v>
      </c>
      <c r="D181" s="6">
        <f>SUM(Волгоград!D181,Саратов!D181,Астрахань!D181,РК!D181,Пенза!D181)</f>
        <v>0</v>
      </c>
      <c r="E181" s="6">
        <f>SUM(Волгоград!E181,Саратов!E181,Астрахань!E181,РК!E181,Пенза!E181)</f>
        <v>0</v>
      </c>
    </row>
    <row r="182" spans="1:5" ht="15.75" thickBot="1" x14ac:dyDescent="0.3">
      <c r="A182" s="12" t="s">
        <v>321</v>
      </c>
      <c r="B182" s="26" t="s">
        <v>322</v>
      </c>
      <c r="C182" s="6">
        <f>SUM(Волгоград!C182,Саратов!C182,Астрахань!C182,РК!C182,Пенза!C182)</f>
        <v>0</v>
      </c>
      <c r="D182" s="6">
        <f>SUM(Волгоград!D182,Саратов!D182,Астрахань!D182,РК!D182,Пенза!D182)</f>
        <v>0</v>
      </c>
      <c r="E182" s="6">
        <f>SUM(Волгоград!E182,Саратов!E182,Астрахань!E182,РК!E182,Пенза!E182)</f>
        <v>0</v>
      </c>
    </row>
    <row r="183" spans="1:5" ht="24.75" thickBot="1" x14ac:dyDescent="0.3">
      <c r="A183" s="18" t="s">
        <v>323</v>
      </c>
      <c r="B183" s="23" t="s">
        <v>324</v>
      </c>
      <c r="C183" s="11">
        <f>SUM(Волгоград!C183,Саратов!C183,Астрахань!C183,РК!C183,Пенза!C183)</f>
        <v>20</v>
      </c>
      <c r="D183" s="11">
        <f>SUM(Волгоград!D183,Саратов!D183,Астрахань!D183,РК!D183,Пенза!D183)</f>
        <v>15</v>
      </c>
      <c r="E183" s="11">
        <f>SUM(Волгоград!E183,Саратов!E183,Астрахань!E183,РК!E183,Пенза!E183)</f>
        <v>5</v>
      </c>
    </row>
    <row r="184" spans="1:5" ht="24.75" thickBot="1" x14ac:dyDescent="0.3">
      <c r="A184" s="18" t="s">
        <v>325</v>
      </c>
      <c r="B184" s="23" t="s">
        <v>326</v>
      </c>
      <c r="C184" s="11">
        <f>SUM(Волгоград!C184,Саратов!C184,Астрахань!C184,РК!C184,Пенза!C184)</f>
        <v>0</v>
      </c>
      <c r="D184" s="11">
        <f>SUM(Волгоград!D184,Саратов!D184,Астрахань!D184,РК!D184,Пенза!D184)</f>
        <v>0</v>
      </c>
      <c r="E184" s="11">
        <f>SUM(Волгоград!E184,Саратов!E184,Астрахань!E184,РК!E184,Пенза!E184)</f>
        <v>0</v>
      </c>
    </row>
    <row r="185" spans="1:5" ht="36.75" thickBot="1" x14ac:dyDescent="0.3">
      <c r="A185" s="18" t="s">
        <v>327</v>
      </c>
      <c r="B185" s="23" t="s">
        <v>328</v>
      </c>
      <c r="C185" s="11">
        <f>SUM(Волгоград!C185,Саратов!C185,Астрахань!C185,РК!C185,Пенза!C185)</f>
        <v>140</v>
      </c>
      <c r="D185" s="11">
        <f>SUM(Волгоград!D185,Саратов!D185,Астрахань!D185,РК!D185,Пенза!D185)</f>
        <v>73</v>
      </c>
      <c r="E185" s="11">
        <f>SUM(Волгоград!E185,Саратов!E185,Астрахань!E185,РК!E185,Пенза!E185)</f>
        <v>67</v>
      </c>
    </row>
    <row r="186" spans="1:5" ht="24.75" thickBot="1" x14ac:dyDescent="0.3">
      <c r="A186" s="12" t="s">
        <v>329</v>
      </c>
      <c r="B186" s="26" t="s">
        <v>330</v>
      </c>
      <c r="C186" s="6">
        <f>SUM(Волгоград!C186,Саратов!C186,Астрахань!C186,РК!C186,Пенза!C186)</f>
        <v>0</v>
      </c>
      <c r="D186" s="6">
        <f>SUM(Волгоград!D186,Саратов!D186,Астрахань!D186,РК!D186,Пенза!D186)</f>
        <v>0</v>
      </c>
      <c r="E186" s="6">
        <f>SUM(Волгоград!E186,Саратов!E186,Астрахань!E186,РК!E186,Пенза!E186)</f>
        <v>0</v>
      </c>
    </row>
    <row r="187" spans="1:5" ht="36.75" thickBot="1" x14ac:dyDescent="0.3">
      <c r="A187" s="12" t="s">
        <v>331</v>
      </c>
      <c r="B187" s="26" t="s">
        <v>332</v>
      </c>
      <c r="C187" s="6">
        <f>SUM(Волгоград!C187,Саратов!C187,Астрахань!C187,РК!C187,Пенза!C187)</f>
        <v>0</v>
      </c>
      <c r="D187" s="6">
        <f>SUM(Волгоград!D187,Саратов!D187,Астрахань!D187,РК!D187,Пенза!D187)</f>
        <v>0</v>
      </c>
      <c r="E187" s="6">
        <f>SUM(Волгоград!E187,Саратов!E187,Астрахань!E187,РК!E187,Пенза!E187)</f>
        <v>0</v>
      </c>
    </row>
    <row r="188" spans="1:5" ht="24.75" thickBot="1" x14ac:dyDescent="0.3">
      <c r="A188" s="12" t="s">
        <v>333</v>
      </c>
      <c r="B188" s="26" t="s">
        <v>334</v>
      </c>
      <c r="C188" s="6">
        <f>SUM(Волгоград!C188,Саратов!C188,Астрахань!C188,РК!C188,Пенза!C188)</f>
        <v>0</v>
      </c>
      <c r="D188" s="6">
        <f>SUM(Волгоград!D188,Саратов!D188,Астрахань!D188,РК!D188,Пенза!D188)</f>
        <v>0</v>
      </c>
      <c r="E188" s="6">
        <f>SUM(Волгоград!E188,Саратов!E188,Астрахань!E188,РК!E188,Пенза!E188)</f>
        <v>0</v>
      </c>
    </row>
    <row r="189" spans="1:5" ht="24.75" thickBot="1" x14ac:dyDescent="0.3">
      <c r="A189" s="12" t="s">
        <v>335</v>
      </c>
      <c r="B189" s="26" t="s">
        <v>336</v>
      </c>
      <c r="C189" s="6">
        <f>SUM(Волгоград!C189,Саратов!C189,Астрахань!C189,РК!C189,Пенза!C189)</f>
        <v>1</v>
      </c>
      <c r="D189" s="6">
        <f>SUM(Волгоград!D189,Саратов!D189,Астрахань!D189,РК!D189,Пенза!D189)</f>
        <v>1</v>
      </c>
      <c r="E189" s="6">
        <f>SUM(Волгоград!E189,Саратов!E189,Астрахань!E189,РК!E189,Пенза!E189)</f>
        <v>0</v>
      </c>
    </row>
    <row r="190" spans="1:5" ht="24.75" thickBot="1" x14ac:dyDescent="0.3">
      <c r="A190" s="12" t="s">
        <v>337</v>
      </c>
      <c r="B190" s="26" t="s">
        <v>338</v>
      </c>
      <c r="C190" s="6">
        <f>SUM(Волгоград!C190,Саратов!C190,Астрахань!C190,РК!C190,Пенза!C190)</f>
        <v>0</v>
      </c>
      <c r="D190" s="6">
        <f>SUM(Волгоград!D190,Саратов!D190,Астрахань!D190,РК!D190,Пенза!D190)</f>
        <v>0</v>
      </c>
      <c r="E190" s="6">
        <f>SUM(Волгоград!E190,Саратов!E190,Астрахань!E190,РК!E190,Пенза!E190)</f>
        <v>0</v>
      </c>
    </row>
    <row r="191" spans="1:5" ht="24.75" thickBot="1" x14ac:dyDescent="0.3">
      <c r="A191" s="12" t="s">
        <v>339</v>
      </c>
      <c r="B191" s="26" t="s">
        <v>340</v>
      </c>
      <c r="C191" s="6">
        <f>SUM(Волгоград!C191,Саратов!C191,Астрахань!C191,РК!C191,Пенза!C191)</f>
        <v>0</v>
      </c>
      <c r="D191" s="6">
        <f>SUM(Волгоград!D191,Саратов!D191,Астрахань!D191,РК!D191,Пенза!D191)</f>
        <v>0</v>
      </c>
      <c r="E191" s="6">
        <f>SUM(Волгоград!E191,Саратов!E191,Астрахань!E191,РК!E191,Пенза!E191)</f>
        <v>0</v>
      </c>
    </row>
    <row r="192" spans="1:5" ht="15.75" thickBot="1" x14ac:dyDescent="0.3">
      <c r="A192" s="12" t="s">
        <v>341</v>
      </c>
      <c r="B192" s="26" t="s">
        <v>342</v>
      </c>
      <c r="C192" s="6">
        <f>SUM(Волгоград!C192,Саратов!C192,Астрахань!C192,РК!C192,Пенза!C192)</f>
        <v>0</v>
      </c>
      <c r="D192" s="6">
        <f>SUM(Волгоград!D192,Саратов!D192,Астрахань!D192,РК!D192,Пенза!D192)</f>
        <v>0</v>
      </c>
      <c r="E192" s="6">
        <f>SUM(Волгоград!E192,Саратов!E192,Астрахань!E192,РК!E192,Пенза!E192)</f>
        <v>0</v>
      </c>
    </row>
    <row r="193" spans="1:5" ht="15.75" thickBot="1" x14ac:dyDescent="0.3">
      <c r="A193" s="12" t="s">
        <v>343</v>
      </c>
      <c r="B193" s="26" t="s">
        <v>344</v>
      </c>
      <c r="C193" s="6">
        <f>SUM(Волгоград!C193,Саратов!C193,Астрахань!C193,РК!C193,Пенза!C193)</f>
        <v>0</v>
      </c>
      <c r="D193" s="6">
        <f>SUM(Волгоград!D193,Саратов!D193,Астрахань!D193,РК!D193,Пенза!D193)</f>
        <v>0</v>
      </c>
      <c r="E193" s="6">
        <f>SUM(Волгоград!E193,Саратов!E193,Астрахань!E193,РК!E193,Пенза!E193)</f>
        <v>0</v>
      </c>
    </row>
    <row r="194" spans="1:5" ht="15.75" thickBot="1" x14ac:dyDescent="0.3">
      <c r="A194" s="12" t="s">
        <v>345</v>
      </c>
      <c r="B194" s="26" t="s">
        <v>346</v>
      </c>
      <c r="C194" s="6">
        <f>SUM(Волгоград!C194,Саратов!C194,Астрахань!C194,РК!C194,Пенза!C194)</f>
        <v>5</v>
      </c>
      <c r="D194" s="6">
        <f>SUM(Волгоград!D194,Саратов!D194,Астрахань!D194,РК!D194,Пенза!D194)</f>
        <v>4</v>
      </c>
      <c r="E194" s="6">
        <f>SUM(Волгоград!E194,Саратов!E194,Астрахань!E194,РК!E194,Пенза!E194)</f>
        <v>1</v>
      </c>
    </row>
    <row r="195" spans="1:5" ht="15.75" thickBot="1" x14ac:dyDescent="0.3">
      <c r="A195" s="12" t="s">
        <v>347</v>
      </c>
      <c r="B195" s="26" t="s">
        <v>348</v>
      </c>
      <c r="C195" s="6">
        <f>SUM(Волгоград!C195,Саратов!C195,Астрахань!C195,РК!C195,Пенза!C195)</f>
        <v>0</v>
      </c>
      <c r="D195" s="6">
        <f>SUM(Волгоград!D195,Саратов!D195,Астрахань!D195,РК!D195,Пенза!D195)</f>
        <v>0</v>
      </c>
      <c r="E195" s="6">
        <f>SUM(Волгоград!E195,Саратов!E195,Астрахань!E195,РК!E195,Пенза!E195)</f>
        <v>0</v>
      </c>
    </row>
    <row r="196" spans="1:5" ht="24.75" thickBot="1" x14ac:dyDescent="0.3">
      <c r="A196" s="12" t="s">
        <v>349</v>
      </c>
      <c r="B196" s="26" t="s">
        <v>350</v>
      </c>
      <c r="C196" s="6">
        <f>SUM(Волгоград!C196,Саратов!C196,Астрахань!C196,РК!C196,Пенза!C196)</f>
        <v>2</v>
      </c>
      <c r="D196" s="6">
        <f>SUM(Волгоград!D196,Саратов!D196,Астрахань!D196,РК!D196,Пенза!D196)</f>
        <v>2</v>
      </c>
      <c r="E196" s="6">
        <f>SUM(Волгоград!E196,Саратов!E196,Астрахань!E196,РК!E196,Пенза!E196)</f>
        <v>0</v>
      </c>
    </row>
    <row r="197" spans="1:5" ht="15.75" thickBot="1" x14ac:dyDescent="0.3">
      <c r="A197" s="12" t="s">
        <v>351</v>
      </c>
      <c r="B197" s="26" t="s">
        <v>352</v>
      </c>
      <c r="C197" s="6">
        <f>SUM(Волгоград!C197,Саратов!C197,Астрахань!C197,РК!C197,Пенза!C197)</f>
        <v>0</v>
      </c>
      <c r="D197" s="6">
        <f>SUM(Волгоград!D197,Саратов!D197,Астрахань!D197,РК!D197,Пенза!D197)</f>
        <v>0</v>
      </c>
      <c r="E197" s="6">
        <f>SUM(Волгоград!E197,Саратов!E197,Астрахань!E197,РК!E197,Пенза!E197)</f>
        <v>0</v>
      </c>
    </row>
    <row r="198" spans="1:5" ht="24.75" thickBot="1" x14ac:dyDescent="0.3">
      <c r="A198" s="12" t="s">
        <v>353</v>
      </c>
      <c r="B198" s="26" t="s">
        <v>354</v>
      </c>
      <c r="C198" s="6">
        <f>SUM(Волгоград!C198,Саратов!C198,Астрахань!C198,РК!C198,Пенза!C198)</f>
        <v>124</v>
      </c>
      <c r="D198" s="6">
        <f>SUM(Волгоград!D198,Саратов!D198,Астрахань!D198,РК!D198,Пенза!D198)</f>
        <v>63</v>
      </c>
      <c r="E198" s="6">
        <f>SUM(Волгоград!E198,Саратов!E198,Астрахань!E198,РК!E198,Пенза!E198)</f>
        <v>61</v>
      </c>
    </row>
    <row r="199" spans="1:5" ht="15.75" thickBot="1" x14ac:dyDescent="0.3">
      <c r="A199" s="12" t="s">
        <v>355</v>
      </c>
      <c r="B199" s="26" t="s">
        <v>356</v>
      </c>
      <c r="C199" s="6">
        <f>SUM(Волгоград!C199,Саратов!C199,Астрахань!C199,РК!C199,Пенза!C199)</f>
        <v>0</v>
      </c>
      <c r="D199" s="6">
        <f>SUM(Волгоград!D199,Саратов!D199,Астрахань!D199,РК!D199,Пенза!D199)</f>
        <v>0</v>
      </c>
      <c r="E199" s="6">
        <f>SUM(Волгоград!E199,Саратов!E199,Астрахань!E199,РК!E199,Пенза!E199)</f>
        <v>0</v>
      </c>
    </row>
    <row r="200" spans="1:5" ht="15.75" thickBot="1" x14ac:dyDescent="0.3">
      <c r="A200" s="12" t="s">
        <v>357</v>
      </c>
      <c r="B200" s="26" t="s">
        <v>358</v>
      </c>
      <c r="C200" s="6">
        <f>SUM(Волгоград!C200,Саратов!C200,Астрахань!C200,РК!C200,Пенза!C200)</f>
        <v>12</v>
      </c>
      <c r="D200" s="6">
        <f>SUM(Волгоград!D200,Саратов!D200,Астрахань!D200,РК!D200,Пенза!D200)</f>
        <v>1</v>
      </c>
      <c r="E200" s="6">
        <f>SUM(Волгоград!E200,Саратов!E200,Астрахань!E200,РК!E200,Пенза!E200)</f>
        <v>11</v>
      </c>
    </row>
    <row r="201" spans="1:5" ht="15.75" thickBot="1" x14ac:dyDescent="0.3">
      <c r="A201" s="12" t="s">
        <v>359</v>
      </c>
      <c r="B201" s="26" t="s">
        <v>360</v>
      </c>
      <c r="C201" s="6">
        <f>SUM(Волгоград!C201,Саратов!C201,Астрахань!C201,РК!C201,Пенза!C201)</f>
        <v>0</v>
      </c>
      <c r="D201" s="6">
        <f>SUM(Волгоград!D201,Саратов!D201,Астрахань!D201,РК!D201,Пенза!D201)</f>
        <v>0</v>
      </c>
      <c r="E201" s="6">
        <f>SUM(Волгоград!E201,Саратов!E201,Астрахань!E201,РК!E201,Пенза!E201)</f>
        <v>0</v>
      </c>
    </row>
    <row r="202" spans="1:5" ht="24.75" thickBot="1" x14ac:dyDescent="0.3">
      <c r="A202" s="12" t="s">
        <v>361</v>
      </c>
      <c r="B202" s="26" t="s">
        <v>362</v>
      </c>
      <c r="C202" s="6">
        <f>SUM(Волгоград!C202,Саратов!C202,Астрахань!C202,РК!C202,Пенза!C202)</f>
        <v>0</v>
      </c>
      <c r="D202" s="6">
        <f>SUM(Волгоград!D202,Саратов!D202,Астрахань!D202,РК!D202,Пенза!D202)</f>
        <v>0</v>
      </c>
      <c r="E202" s="6">
        <f>SUM(Волгоград!E202,Саратов!E202,Астрахань!E202,РК!E202,Пенза!E202)</f>
        <v>0</v>
      </c>
    </row>
    <row r="203" spans="1:5" ht="15.75" thickBot="1" x14ac:dyDescent="0.3">
      <c r="A203" s="12" t="s">
        <v>363</v>
      </c>
      <c r="B203" s="26" t="s">
        <v>364</v>
      </c>
      <c r="C203" s="6">
        <f>SUM(Волгоград!C203,Саратов!C203,Астрахань!C203,РК!C203,Пенза!C203)</f>
        <v>0</v>
      </c>
      <c r="D203" s="6">
        <f>SUM(Волгоград!D203,Саратов!D203,Астрахань!D203,РК!D203,Пенза!D203)</f>
        <v>0</v>
      </c>
      <c r="E203" s="6">
        <f>SUM(Волгоград!E203,Саратов!E203,Астрахань!E203,РК!E203,Пенза!E203)</f>
        <v>0</v>
      </c>
    </row>
    <row r="204" spans="1:5" ht="15.75" thickBot="1" x14ac:dyDescent="0.3">
      <c r="A204" s="12" t="s">
        <v>365</v>
      </c>
      <c r="B204" s="26" t="s">
        <v>366</v>
      </c>
      <c r="C204" s="6">
        <f>SUM(Волгоград!C204,Саратов!C204,Астрахань!C204,РК!C204,Пенза!C204)</f>
        <v>8</v>
      </c>
      <c r="D204" s="6">
        <f>SUM(Волгоград!D204,Саратов!D204,Астрахань!D204,РК!D204,Пенза!D204)</f>
        <v>6</v>
      </c>
      <c r="E204" s="6">
        <f>SUM(Волгоград!E204,Саратов!E204,Астрахань!E204,РК!E204,Пенза!E204)</f>
        <v>2</v>
      </c>
    </row>
    <row r="205" spans="1:5" ht="24.75" thickBot="1" x14ac:dyDescent="0.3">
      <c r="A205" s="12" t="s">
        <v>367</v>
      </c>
      <c r="B205" s="26" t="s">
        <v>368</v>
      </c>
      <c r="C205" s="6">
        <f>SUM(Волгоград!C205,Саратов!C205,Астрахань!C205,РК!C205,Пенза!C205)</f>
        <v>19</v>
      </c>
      <c r="D205" s="6">
        <f>SUM(Волгоград!D205,Саратов!D205,Астрахань!D205,РК!D205,Пенза!D205)</f>
        <v>11</v>
      </c>
      <c r="E205" s="6">
        <f>SUM(Волгоград!E205,Саратов!E205,Астрахань!E205,РК!E205,Пенза!E205)</f>
        <v>8</v>
      </c>
    </row>
    <row r="206" spans="1:5" ht="15.75" thickBot="1" x14ac:dyDescent="0.3">
      <c r="A206" s="12" t="s">
        <v>369</v>
      </c>
      <c r="B206" s="26" t="s">
        <v>370</v>
      </c>
      <c r="C206" s="6">
        <f>SUM(Волгоград!C206,Саратов!C206,Астрахань!C206,РК!C206,Пенза!C206)</f>
        <v>0</v>
      </c>
      <c r="D206" s="6">
        <f>SUM(Волгоград!D206,Саратов!D206,Астрахань!D206,РК!D206,Пенза!D206)</f>
        <v>0</v>
      </c>
      <c r="E206" s="6">
        <f>SUM(Волгоград!E206,Саратов!E206,Астрахань!E206,РК!E206,Пенза!E206)</f>
        <v>0</v>
      </c>
    </row>
    <row r="207" spans="1:5" ht="15.75" thickBot="1" x14ac:dyDescent="0.3">
      <c r="A207" s="12" t="s">
        <v>371</v>
      </c>
      <c r="B207" s="26" t="s">
        <v>372</v>
      </c>
      <c r="C207" s="6">
        <f>SUM(Волгоград!C207,Саратов!C207,Астрахань!C207,РК!C207,Пенза!C207)</f>
        <v>2</v>
      </c>
      <c r="D207" s="6">
        <f>SUM(Волгоград!D207,Саратов!D207,Астрахань!D207,РК!D207,Пенза!D207)</f>
        <v>2</v>
      </c>
      <c r="E207" s="6">
        <f>SUM(Волгоград!E207,Саратов!E207,Астрахань!E207,РК!E207,Пенза!E207)</f>
        <v>0</v>
      </c>
    </row>
    <row r="208" spans="1:5" ht="15.75" thickBot="1" x14ac:dyDescent="0.3">
      <c r="A208" s="12" t="s">
        <v>373</v>
      </c>
      <c r="B208" s="26" t="s">
        <v>374</v>
      </c>
      <c r="C208" s="6">
        <f>SUM(Волгоград!C208,Саратов!C208,Астрахань!C208,РК!C208,Пенза!C208)</f>
        <v>0</v>
      </c>
      <c r="D208" s="6">
        <f>SUM(Волгоград!D208,Саратов!D208,Астрахань!D208,РК!D208,Пенза!D208)</f>
        <v>0</v>
      </c>
      <c r="E208" s="6">
        <f>SUM(Волгоград!E208,Саратов!E208,Астрахань!E208,РК!E208,Пенза!E208)</f>
        <v>0</v>
      </c>
    </row>
    <row r="209" spans="1:5" ht="48.75" thickBot="1" x14ac:dyDescent="0.3">
      <c r="A209" s="12" t="s">
        <v>375</v>
      </c>
      <c r="B209" s="26" t="s">
        <v>376</v>
      </c>
      <c r="C209" s="6">
        <f>SUM(Волгоград!C209,Саратов!C209,Астрахань!C209,РК!C209,Пенза!C209)</f>
        <v>83</v>
      </c>
      <c r="D209" s="6">
        <f>SUM(Волгоград!D209,Саратов!D209,Астрахань!D209,РК!D209,Пенза!D209)</f>
        <v>43</v>
      </c>
      <c r="E209" s="6">
        <f>SUM(Волгоград!E209,Саратов!E209,Астрахань!E209,РК!E209,Пенза!E209)</f>
        <v>40</v>
      </c>
    </row>
    <row r="210" spans="1:5" ht="36.75" thickBot="1" x14ac:dyDescent="0.3">
      <c r="A210" s="12" t="s">
        <v>377</v>
      </c>
      <c r="B210" s="26" t="s">
        <v>378</v>
      </c>
      <c r="C210" s="6">
        <f>SUM(Волгоград!C210,Саратов!C210,Астрахань!C210,РК!C210,Пенза!C210)</f>
        <v>83</v>
      </c>
      <c r="D210" s="6">
        <f>SUM(Волгоград!D210,Саратов!D210,Астрахань!D210,РК!D210,Пенза!D210)</f>
        <v>43</v>
      </c>
      <c r="E210" s="6">
        <f>SUM(Волгоград!E210,Саратов!E210,Астрахань!E210,РК!E210,Пенза!E210)</f>
        <v>40</v>
      </c>
    </row>
    <row r="211" spans="1:5" ht="24.75" thickBot="1" x14ac:dyDescent="0.3">
      <c r="A211" s="12" t="s">
        <v>379</v>
      </c>
      <c r="B211" s="26" t="s">
        <v>380</v>
      </c>
      <c r="C211" s="6">
        <f>SUM(Волгоград!C211,Саратов!C211,Астрахань!C211,РК!C211,Пенза!C211)</f>
        <v>0</v>
      </c>
      <c r="D211" s="6">
        <f>SUM(Волгоград!D211,Саратов!D211,Астрахань!D211,РК!D211,Пенза!D211)</f>
        <v>0</v>
      </c>
      <c r="E211" s="6">
        <f>SUM(Волгоград!E211,Саратов!E211,Астрахань!E211,РК!E211,Пенза!E211)</f>
        <v>0</v>
      </c>
    </row>
    <row r="212" spans="1:5" ht="48.75" thickBot="1" x14ac:dyDescent="0.3">
      <c r="A212" s="12" t="s">
        <v>381</v>
      </c>
      <c r="B212" s="26" t="s">
        <v>382</v>
      </c>
      <c r="C212" s="6">
        <f>SUM(Волгоград!C212,Саратов!C212,Астрахань!C212,РК!C212,Пенза!C212)</f>
        <v>0</v>
      </c>
      <c r="D212" s="6">
        <f>SUM(Волгоград!D212,Саратов!D212,Астрахань!D212,РК!D212,Пенза!D212)</f>
        <v>0</v>
      </c>
      <c r="E212" s="6">
        <f>SUM(Волгоград!E212,Саратов!E212,Астрахань!E212,РК!E212,Пенза!E212)</f>
        <v>0</v>
      </c>
    </row>
    <row r="213" spans="1:5" ht="60.75" thickBot="1" x14ac:dyDescent="0.3">
      <c r="A213" s="12" t="s">
        <v>383</v>
      </c>
      <c r="B213" s="26" t="s">
        <v>384</v>
      </c>
      <c r="C213" s="6">
        <f>SUM(Волгоград!C213,Саратов!C213,Астрахань!C213,РК!C213,Пенза!C213)</f>
        <v>0</v>
      </c>
      <c r="D213" s="6">
        <f>SUM(Волгоград!D213,Саратов!D213,Астрахань!D213,РК!D213,Пенза!D213)</f>
        <v>0</v>
      </c>
      <c r="E213" s="6">
        <f>SUM(Волгоград!E213,Саратов!E213,Астрахань!E213,РК!E213,Пенза!E213)</f>
        <v>0</v>
      </c>
    </row>
    <row r="214" spans="1:5" ht="15.75" thickBot="1" x14ac:dyDescent="0.3">
      <c r="A214" s="12" t="s">
        <v>385</v>
      </c>
      <c r="B214" s="26" t="s">
        <v>386</v>
      </c>
      <c r="C214" s="6">
        <f>SUM(Волгоград!C214,Саратов!C214,Астрахань!C214,РК!C214,Пенза!C214)</f>
        <v>0</v>
      </c>
      <c r="D214" s="6">
        <f>SUM(Волгоград!D214,Саратов!D214,Астрахань!D214,РК!D214,Пенза!D214)</f>
        <v>0</v>
      </c>
      <c r="E214" s="6">
        <f>SUM(Волгоград!E214,Саратов!E214,Астрахань!E214,РК!E214,Пенза!E214)</f>
        <v>0</v>
      </c>
    </row>
    <row r="215" spans="1:5" ht="15.75" thickBot="1" x14ac:dyDescent="0.3">
      <c r="A215" s="12" t="s">
        <v>387</v>
      </c>
      <c r="B215" s="26" t="s">
        <v>388</v>
      </c>
      <c r="C215" s="6">
        <f>SUM(Волгоград!C215,Саратов!C215,Астрахань!C215,РК!C215,Пенза!C215)</f>
        <v>6</v>
      </c>
      <c r="D215" s="6">
        <f>SUM(Волгоград!D215,Саратов!D215,Астрахань!D215,РК!D215,Пенза!D215)</f>
        <v>3</v>
      </c>
      <c r="E215" s="6">
        <f>SUM(Волгоград!E215,Саратов!E215,Астрахань!E215,РК!E215,Пенза!E215)</f>
        <v>3</v>
      </c>
    </row>
    <row r="216" spans="1:5" ht="15.75" thickBot="1" x14ac:dyDescent="0.3">
      <c r="A216" s="12" t="s">
        <v>389</v>
      </c>
      <c r="B216" s="26" t="s">
        <v>390</v>
      </c>
      <c r="C216" s="6">
        <f>SUM(Волгоград!C216,Саратов!C216,Астрахань!C216,РК!C216,Пенза!C216)</f>
        <v>0</v>
      </c>
      <c r="D216" s="6">
        <f>SUM(Волгоград!D216,Саратов!D216,Астрахань!D216,РК!D216,Пенза!D216)</f>
        <v>0</v>
      </c>
      <c r="E216" s="6">
        <f>SUM(Волгоград!E216,Саратов!E216,Астрахань!E216,РК!E216,Пенза!E216)</f>
        <v>0</v>
      </c>
    </row>
    <row r="217" spans="1:5" ht="15.75" thickBot="1" x14ac:dyDescent="0.3">
      <c r="A217" s="12" t="s">
        <v>391</v>
      </c>
      <c r="B217" s="26" t="s">
        <v>392</v>
      </c>
      <c r="C217" s="6">
        <f>SUM(Волгоград!C217,Саратов!C217,Астрахань!C217,РК!C217,Пенза!C217)</f>
        <v>2</v>
      </c>
      <c r="D217" s="6">
        <f>SUM(Волгоград!D217,Саратов!D217,Астрахань!D217,РК!D217,Пенза!D217)</f>
        <v>0</v>
      </c>
      <c r="E217" s="6">
        <f>SUM(Волгоград!E217,Саратов!E217,Астрахань!E217,РК!E217,Пенза!E217)</f>
        <v>2</v>
      </c>
    </row>
    <row r="218" spans="1:5" ht="15.75" thickBot="1" x14ac:dyDescent="0.3">
      <c r="A218" s="7" t="s">
        <v>393</v>
      </c>
      <c r="B218" s="23" t="s">
        <v>394</v>
      </c>
      <c r="C218" s="42">
        <f>SUM(Волгоград!C218,Саратов!C218,Астрахань!C218,РК!C218,Пенза!C218)</f>
        <v>0</v>
      </c>
      <c r="D218" s="42">
        <f>SUM(Волгоград!D218,Саратов!D218,Астрахань!D218,РК!D218,Пенза!D218)</f>
        <v>0</v>
      </c>
      <c r="E218" s="42">
        <f>SUM(Волгоград!E218,Саратов!E218,Астрахань!E218,РК!E218,Пенза!E218)</f>
        <v>0</v>
      </c>
    </row>
    <row r="219" spans="1:5" ht="36.75" thickBot="1" x14ac:dyDescent="0.3">
      <c r="A219" s="7" t="s">
        <v>395</v>
      </c>
      <c r="B219" s="23" t="s">
        <v>396</v>
      </c>
      <c r="C219" s="11">
        <f>SUM(Волгоград!C219,Саратов!C219,Астрахань!C219,РК!C219,Пенза!C219)</f>
        <v>58</v>
      </c>
      <c r="D219" s="11">
        <f>SUM(Волгоград!D219,Саратов!D219,Астрахань!D219,РК!D219,Пенза!D219)</f>
        <v>40</v>
      </c>
      <c r="E219" s="11">
        <f>SUM(Волгоград!E219,Саратов!E219,Астрахань!E219,РК!E219,Пенза!E219)</f>
        <v>17</v>
      </c>
    </row>
    <row r="220" spans="1:5" ht="24.75" thickBot="1" x14ac:dyDescent="0.3">
      <c r="A220" s="12" t="s">
        <v>397</v>
      </c>
      <c r="B220" s="26" t="s">
        <v>398</v>
      </c>
      <c r="C220" s="6">
        <f>SUM(Волгоград!C220,Саратов!C220,Астрахань!C220,РК!C220,Пенза!C220)</f>
        <v>0</v>
      </c>
      <c r="D220" s="6">
        <f>SUM(Волгоград!D220,Саратов!D220,Астрахань!D220,РК!D220,Пенза!D220)</f>
        <v>0</v>
      </c>
      <c r="E220" s="6">
        <f>SUM(Волгоград!E220,Саратов!E220,Астрахань!E220,РК!E220,Пенза!E220)</f>
        <v>0</v>
      </c>
    </row>
    <row r="221" spans="1:5" ht="36.75" thickBot="1" x14ac:dyDescent="0.3">
      <c r="A221" s="12" t="s">
        <v>399</v>
      </c>
      <c r="B221" s="26" t="s">
        <v>400</v>
      </c>
      <c r="C221" s="6">
        <f>SUM(Волгоград!C221,Саратов!C221,Астрахань!C221,РК!C221,Пенза!C221)</f>
        <v>0</v>
      </c>
      <c r="D221" s="6">
        <f>SUM(Волгоград!D221,Саратов!D221,Астрахань!D221,РК!D221,Пенза!D221)</f>
        <v>0</v>
      </c>
      <c r="E221" s="6">
        <f>SUM(Волгоград!E221,Саратов!E221,Астрахань!E221,РК!E221,Пенза!E221)</f>
        <v>0</v>
      </c>
    </row>
    <row r="222" spans="1:5" ht="24.75" thickBot="1" x14ac:dyDescent="0.3">
      <c r="A222" s="12" t="s">
        <v>401</v>
      </c>
      <c r="B222" s="26" t="s">
        <v>402</v>
      </c>
      <c r="C222" s="6">
        <f>SUM(Волгоград!C222,Саратов!C222,Астрахань!C222,РК!C222,Пенза!C222)</f>
        <v>0</v>
      </c>
      <c r="D222" s="6">
        <f>SUM(Волгоград!D222,Саратов!D222,Астрахань!D222,РК!D222,Пенза!D222)</f>
        <v>0</v>
      </c>
      <c r="E222" s="6">
        <f>SUM(Волгоград!E222,Саратов!E222,Астрахань!E222,РК!E222,Пенза!E222)</f>
        <v>0</v>
      </c>
    </row>
    <row r="223" spans="1:5" ht="24.75" thickBot="1" x14ac:dyDescent="0.3">
      <c r="A223" s="12" t="s">
        <v>403</v>
      </c>
      <c r="B223" s="26" t="s">
        <v>404</v>
      </c>
      <c r="C223" s="6">
        <f>SUM(Волгоград!C223,Саратов!C223,Астрахань!C223,РК!C223,Пенза!C223)</f>
        <v>3</v>
      </c>
      <c r="D223" s="6">
        <f>SUM(Волгоград!D223,Саратов!D223,Астрахань!D223,РК!D223,Пенза!D223)</f>
        <v>3</v>
      </c>
      <c r="E223" s="6">
        <f>SUM(Волгоград!E223,Саратов!E223,Астрахань!E223,РК!E223,Пенза!E223)</f>
        <v>0</v>
      </c>
    </row>
    <row r="224" spans="1:5" ht="24.75" thickBot="1" x14ac:dyDescent="0.3">
      <c r="A224" s="12" t="s">
        <v>405</v>
      </c>
      <c r="B224" s="26" t="s">
        <v>406</v>
      </c>
      <c r="C224" s="6">
        <f>SUM(Волгоград!C224,Саратов!C224,Астрахань!C224,РК!C224,Пенза!C224)</f>
        <v>0</v>
      </c>
      <c r="D224" s="6">
        <f>SUM(Волгоград!D224,Саратов!D224,Астрахань!D224,РК!D224,Пенза!D224)</f>
        <v>0</v>
      </c>
      <c r="E224" s="6">
        <f>SUM(Волгоград!E224,Саратов!E224,Астрахань!E224,РК!E224,Пенза!E224)</f>
        <v>0</v>
      </c>
    </row>
    <row r="225" spans="1:5" ht="24.75" thickBot="1" x14ac:dyDescent="0.3">
      <c r="A225" s="12" t="s">
        <v>407</v>
      </c>
      <c r="B225" s="26" t="s">
        <v>408</v>
      </c>
      <c r="C225" s="6">
        <f>SUM(Волгоград!C225,Саратов!C225,Астрахань!C225,РК!C225,Пенза!C225)</f>
        <v>0</v>
      </c>
      <c r="D225" s="6">
        <f>SUM(Волгоград!D225,Саратов!D225,Астрахань!D225,РК!D225,Пенза!D225)</f>
        <v>0</v>
      </c>
      <c r="E225" s="6">
        <f>SUM(Волгоград!E225,Саратов!E225,Астрахань!E225,РК!E225,Пенза!E225)</f>
        <v>0</v>
      </c>
    </row>
    <row r="226" spans="1:5" ht="15.75" thickBot="1" x14ac:dyDescent="0.3">
      <c r="A226" s="12" t="s">
        <v>409</v>
      </c>
      <c r="B226" s="26" t="s">
        <v>410</v>
      </c>
      <c r="C226" s="6">
        <f>SUM(Волгоград!C226,Саратов!C226,Астрахань!C226,РК!C226,Пенза!C226)</f>
        <v>0</v>
      </c>
      <c r="D226" s="6">
        <f>SUM(Волгоград!D226,Саратов!D226,Астрахань!D226,РК!D226,Пенза!D226)</f>
        <v>0</v>
      </c>
      <c r="E226" s="6">
        <f>SUM(Волгоград!E226,Саратов!E226,Астрахань!E226,РК!E226,Пенза!E226)</f>
        <v>0</v>
      </c>
    </row>
    <row r="227" spans="1:5" ht="15.75" thickBot="1" x14ac:dyDescent="0.3">
      <c r="A227" s="12" t="s">
        <v>411</v>
      </c>
      <c r="B227" s="26" t="s">
        <v>412</v>
      </c>
      <c r="C227" s="6">
        <f>SUM(Волгоград!C227,Саратов!C227,Астрахань!C227,РК!C227,Пенза!C227)</f>
        <v>0</v>
      </c>
      <c r="D227" s="6">
        <f>SUM(Волгоград!D227,Саратов!D227,Астрахань!D227,РК!D227,Пенза!D227)</f>
        <v>0</v>
      </c>
      <c r="E227" s="6">
        <f>SUM(Волгоград!E227,Саратов!E227,Астрахань!E227,РК!E227,Пенза!E227)</f>
        <v>0</v>
      </c>
    </row>
    <row r="228" spans="1:5" ht="15.75" thickBot="1" x14ac:dyDescent="0.3">
      <c r="A228" s="12" t="s">
        <v>413</v>
      </c>
      <c r="B228" s="26" t="s">
        <v>414</v>
      </c>
      <c r="C228" s="6">
        <f>SUM(Волгоград!C228,Саратов!C228,Астрахань!C228,РК!C228,Пенза!C228)</f>
        <v>10</v>
      </c>
      <c r="D228" s="6">
        <f>SUM(Волгоград!D228,Саратов!D228,Астрахань!D228,РК!D228,Пенза!D228)</f>
        <v>10</v>
      </c>
      <c r="E228" s="6">
        <f>SUM(Волгоград!E228,Саратов!E228,Астрахань!E228,РК!E228,Пенза!E228)</f>
        <v>0</v>
      </c>
    </row>
    <row r="229" spans="1:5" ht="15.75" thickBot="1" x14ac:dyDescent="0.3">
      <c r="A229" s="12" t="s">
        <v>415</v>
      </c>
      <c r="B229" s="26" t="s">
        <v>416</v>
      </c>
      <c r="C229" s="6">
        <f>SUM(Волгоград!C229,Саратов!C229,Астрахань!C229,РК!C229,Пенза!C229)</f>
        <v>0</v>
      </c>
      <c r="D229" s="6">
        <f>SUM(Волгоград!D229,Саратов!D229,Астрахань!D229,РК!D229,Пенза!D229)</f>
        <v>0</v>
      </c>
      <c r="E229" s="6">
        <f>SUM(Волгоград!E229,Саратов!E229,Астрахань!E229,РК!E229,Пенза!E229)</f>
        <v>0</v>
      </c>
    </row>
    <row r="230" spans="1:5" ht="24.75" thickBot="1" x14ac:dyDescent="0.3">
      <c r="A230" s="12" t="s">
        <v>417</v>
      </c>
      <c r="B230" s="26" t="s">
        <v>418</v>
      </c>
      <c r="C230" s="6">
        <f>SUM(Волгоград!C230,Саратов!C230,Астрахань!C230,РК!C230,Пенза!C230)</f>
        <v>1</v>
      </c>
      <c r="D230" s="6">
        <f>SUM(Волгоград!D230,Саратов!D230,Астрахань!D230,РК!D230,Пенза!D230)</f>
        <v>1</v>
      </c>
      <c r="E230" s="6">
        <f>SUM(Волгоград!E230,Саратов!E230,Астрахань!E230,РК!E230,Пенза!E230)</f>
        <v>0</v>
      </c>
    </row>
    <row r="231" spans="1:5" ht="15.75" thickBot="1" x14ac:dyDescent="0.3">
      <c r="A231" s="12" t="s">
        <v>419</v>
      </c>
      <c r="B231" s="26" t="s">
        <v>420</v>
      </c>
      <c r="C231" s="6">
        <f>SUM(Волгоград!C231,Саратов!C231,Астрахань!C231,РК!C231,Пенза!C231)</f>
        <v>0</v>
      </c>
      <c r="D231" s="6">
        <f>SUM(Волгоград!D231,Саратов!D231,Астрахань!D231,РК!D231,Пенза!D231)</f>
        <v>0</v>
      </c>
      <c r="E231" s="6">
        <f>SUM(Волгоград!E231,Саратов!E231,Астрахань!E231,РК!E231,Пенза!E231)</f>
        <v>0</v>
      </c>
    </row>
    <row r="232" spans="1:5" ht="24.75" thickBot="1" x14ac:dyDescent="0.3">
      <c r="A232" s="12" t="s">
        <v>421</v>
      </c>
      <c r="B232" s="26" t="s">
        <v>422</v>
      </c>
      <c r="C232" s="6">
        <f>SUM(Волгоград!C232,Саратов!C232,Астрахань!C232,РК!C232,Пенза!C232)</f>
        <v>41</v>
      </c>
      <c r="D232" s="6">
        <f>SUM(Волгоград!D232,Саратов!D232,Астрахань!D232,РК!D232,Пенза!D232)</f>
        <v>23</v>
      </c>
      <c r="E232" s="6">
        <f>SUM(Волгоград!E232,Саратов!E232,Астрахань!E232,РК!E232,Пенза!E232)</f>
        <v>17</v>
      </c>
    </row>
    <row r="233" spans="1:5" ht="15.75" thickBot="1" x14ac:dyDescent="0.3">
      <c r="A233" s="12" t="s">
        <v>423</v>
      </c>
      <c r="B233" s="26" t="s">
        <v>424</v>
      </c>
      <c r="C233" s="6">
        <f>SUM(Волгоград!C233,Саратов!C233,Астрахань!C233,РК!C233,Пенза!C233)</f>
        <v>0</v>
      </c>
      <c r="D233" s="6">
        <f>SUM(Волгоград!D233,Саратов!D233,Астрахань!D233,РК!D233,Пенза!D233)</f>
        <v>0</v>
      </c>
      <c r="E233" s="6">
        <f>SUM(Волгоград!E233,Саратов!E233,Астрахань!E233,РК!E233,Пенза!E233)</f>
        <v>0</v>
      </c>
    </row>
    <row r="234" spans="1:5" ht="15.75" thickBot="1" x14ac:dyDescent="0.3">
      <c r="A234" s="12" t="s">
        <v>425</v>
      </c>
      <c r="B234" s="26" t="s">
        <v>426</v>
      </c>
      <c r="C234" s="6">
        <f>SUM(Волгоград!C234,Саратов!C234,Астрахань!C234,РК!C234,Пенза!C234)</f>
        <v>0</v>
      </c>
      <c r="D234" s="6">
        <f>SUM(Волгоград!D234,Саратов!D234,Астрахань!D234,РК!D234,Пенза!D234)</f>
        <v>0</v>
      </c>
      <c r="E234" s="6">
        <f>SUM(Волгоград!E234,Саратов!E234,Астрахань!E234,РК!E234,Пенза!E234)</f>
        <v>0</v>
      </c>
    </row>
    <row r="235" spans="1:5" ht="15.75" thickBot="1" x14ac:dyDescent="0.3">
      <c r="A235" s="12" t="s">
        <v>427</v>
      </c>
      <c r="B235" s="26" t="s">
        <v>428</v>
      </c>
      <c r="C235" s="6">
        <f>SUM(Волгоград!C235,Саратов!C235,Астрахань!C235,РК!C235,Пенза!C235)</f>
        <v>1</v>
      </c>
      <c r="D235" s="6">
        <f>SUM(Волгоград!D235,Саратов!D235,Астрахань!D235,РК!D235,Пенза!D235)</f>
        <v>1</v>
      </c>
      <c r="E235" s="6">
        <f>SUM(Волгоград!E235,Саратов!E235,Астрахань!E235,РК!E235,Пенза!E235)</f>
        <v>0</v>
      </c>
    </row>
    <row r="236" spans="1:5" ht="24.75" thickBot="1" x14ac:dyDescent="0.3">
      <c r="A236" s="12" t="s">
        <v>429</v>
      </c>
      <c r="B236" s="26" t="s">
        <v>430</v>
      </c>
      <c r="C236" s="6">
        <f>SUM(Волгоград!C236,Саратов!C236,Астрахань!C236,РК!C236,Пенза!C236)</f>
        <v>0</v>
      </c>
      <c r="D236" s="6">
        <f>SUM(Волгоград!D236,Саратов!D236,Астрахань!D236,РК!D236,Пенза!D236)</f>
        <v>0</v>
      </c>
      <c r="E236" s="6">
        <f>SUM(Волгоград!E236,Саратов!E236,Астрахань!E236,РК!E236,Пенза!E236)</f>
        <v>0</v>
      </c>
    </row>
    <row r="237" spans="1:5" ht="15.75" thickBot="1" x14ac:dyDescent="0.3">
      <c r="A237" s="12" t="s">
        <v>431</v>
      </c>
      <c r="B237" s="26" t="s">
        <v>432</v>
      </c>
      <c r="C237" s="6">
        <f>SUM(Волгоград!C237,Саратов!C237,Астрахань!C237,РК!C237,Пенза!C237)</f>
        <v>0</v>
      </c>
      <c r="D237" s="6">
        <f>SUM(Волгоград!D237,Саратов!D237,Астрахань!D237,РК!D237,Пенза!D237)</f>
        <v>0</v>
      </c>
      <c r="E237" s="6">
        <f>SUM(Волгоград!E237,Саратов!E237,Астрахань!E237,РК!E237,Пенза!E237)</f>
        <v>0</v>
      </c>
    </row>
    <row r="238" spans="1:5" ht="15.75" thickBot="1" x14ac:dyDescent="0.3">
      <c r="A238" s="12" t="s">
        <v>433</v>
      </c>
      <c r="B238" s="26" t="s">
        <v>434</v>
      </c>
      <c r="C238" s="6">
        <f>SUM(Волгоград!C238,Саратов!C238,Астрахань!C238,РК!C238,Пенза!C238)</f>
        <v>2</v>
      </c>
      <c r="D238" s="6">
        <f>SUM(Волгоград!D238,Саратов!D238,Астрахань!D238,РК!D238,Пенза!D238)</f>
        <v>1</v>
      </c>
      <c r="E238" s="6">
        <f>SUM(Волгоград!E238,Саратов!E238,Астрахань!E238,РК!E238,Пенза!E238)</f>
        <v>1</v>
      </c>
    </row>
    <row r="239" spans="1:5" ht="24.75" thickBot="1" x14ac:dyDescent="0.3">
      <c r="A239" s="12" t="s">
        <v>435</v>
      </c>
      <c r="B239" s="26" t="s">
        <v>436</v>
      </c>
      <c r="C239" s="6">
        <f>SUM(Волгоград!C239,Саратов!C239,Астрахань!C239,РК!C239,Пенза!C239)</f>
        <v>2</v>
      </c>
      <c r="D239" s="6">
        <f>SUM(Волгоград!D239,Саратов!D239,Астрахань!D239,РК!D239,Пенза!D239)</f>
        <v>2</v>
      </c>
      <c r="E239" s="6">
        <f>SUM(Волгоград!E239,Саратов!E239,Астрахань!E239,РК!E239,Пенза!E239)</f>
        <v>0</v>
      </c>
    </row>
    <row r="240" spans="1:5" ht="15.75" thickBot="1" x14ac:dyDescent="0.3">
      <c r="A240" s="12" t="s">
        <v>437</v>
      </c>
      <c r="B240" s="26" t="s">
        <v>438</v>
      </c>
      <c r="C240" s="6">
        <f>SUM(Волгоград!C240,Саратов!C240,Астрахань!C240,РК!C240,Пенза!C240)</f>
        <v>0</v>
      </c>
      <c r="D240" s="6">
        <f>SUM(Волгоград!D240,Саратов!D240,Астрахань!D240,РК!D240,Пенза!D240)</f>
        <v>0</v>
      </c>
      <c r="E240" s="6">
        <f>SUM(Волгоград!E240,Саратов!E240,Астрахань!E240,РК!E240,Пенза!E240)</f>
        <v>0</v>
      </c>
    </row>
    <row r="241" spans="1:5" ht="15.75" thickBot="1" x14ac:dyDescent="0.3">
      <c r="A241" s="12" t="s">
        <v>439</v>
      </c>
      <c r="B241" s="26" t="s">
        <v>440</v>
      </c>
      <c r="C241" s="6">
        <f>SUM(Волгоград!C241,Саратов!C241,Астрахань!C241,РК!C241,Пенза!C241)</f>
        <v>1</v>
      </c>
      <c r="D241" s="6">
        <f>SUM(Волгоград!D241,Саратов!D241,Астрахань!D241,РК!D241,Пенза!D241)</f>
        <v>1</v>
      </c>
      <c r="E241" s="6">
        <f>SUM(Волгоград!E241,Саратов!E241,Астрахань!E241,РК!E241,Пенза!E241)</f>
        <v>0</v>
      </c>
    </row>
    <row r="242" spans="1:5" ht="15.75" thickBot="1" x14ac:dyDescent="0.3">
      <c r="A242" s="12" t="s">
        <v>441</v>
      </c>
      <c r="B242" s="26" t="s">
        <v>442</v>
      </c>
      <c r="C242" s="6">
        <f>SUM(Волгоград!C242,Саратов!C242,Астрахань!C242,РК!C242,Пенза!C242)</f>
        <v>0</v>
      </c>
      <c r="D242" s="6">
        <f>SUM(Волгоград!D242,Саратов!D242,Астрахань!D242,РК!D242,Пенза!D242)</f>
        <v>0</v>
      </c>
      <c r="E242" s="6">
        <f>SUM(Волгоград!E242,Саратов!E242,Астрахань!E242,РК!E242,Пенза!E242)</f>
        <v>0</v>
      </c>
    </row>
    <row r="243" spans="1:5" ht="48.75" thickBot="1" x14ac:dyDescent="0.3">
      <c r="A243" s="12" t="s">
        <v>443</v>
      </c>
      <c r="B243" s="26" t="s">
        <v>444</v>
      </c>
      <c r="C243" s="6">
        <f>SUM(Волгоград!C243,Саратов!C243,Астрахань!C243,РК!C243,Пенза!C243)</f>
        <v>35</v>
      </c>
      <c r="D243" s="6">
        <f>SUM(Волгоград!D243,Саратов!D243,Астрахань!D243,РК!D243,Пенза!D243)</f>
        <v>19</v>
      </c>
      <c r="E243" s="6">
        <f>SUM(Волгоград!E243,Саратов!E243,Астрахань!E243,РК!E243,Пенза!E243)</f>
        <v>16</v>
      </c>
    </row>
    <row r="244" spans="1:5" ht="36.75" thickBot="1" x14ac:dyDescent="0.3">
      <c r="A244" s="12" t="s">
        <v>445</v>
      </c>
      <c r="B244" s="26" t="s">
        <v>446</v>
      </c>
      <c r="C244" s="6">
        <f>SUM(Волгоград!C244,Саратов!C244,Астрахань!C244,РК!C244,Пенза!C244)</f>
        <v>35</v>
      </c>
      <c r="D244" s="6">
        <f>SUM(Волгоград!D244,Саратов!D244,Астрахань!D244,РК!D244,Пенза!D244)</f>
        <v>19</v>
      </c>
      <c r="E244" s="6">
        <f>SUM(Волгоград!E244,Саратов!E244,Астрахань!E244,РК!E244,Пенза!E244)</f>
        <v>16</v>
      </c>
    </row>
    <row r="245" spans="1:5" ht="24.75" thickBot="1" x14ac:dyDescent="0.3">
      <c r="A245" s="12" t="s">
        <v>447</v>
      </c>
      <c r="B245" s="26" t="s">
        <v>448</v>
      </c>
      <c r="C245" s="6">
        <f>SUM(Волгоград!C245,Саратов!C245,Астрахань!C245,РК!C245,Пенза!C245)</f>
        <v>0</v>
      </c>
      <c r="D245" s="6">
        <f>SUM(Волгоград!D245,Саратов!D245,Астрахань!D245,РК!D245,Пенза!D245)</f>
        <v>0</v>
      </c>
      <c r="E245" s="6">
        <f>SUM(Волгоград!E245,Саратов!E245,Астрахань!E245,РК!E245,Пенза!E245)</f>
        <v>0</v>
      </c>
    </row>
    <row r="246" spans="1:5" ht="48.75" thickBot="1" x14ac:dyDescent="0.3">
      <c r="A246" s="12" t="s">
        <v>449</v>
      </c>
      <c r="B246" s="26" t="s">
        <v>450</v>
      </c>
      <c r="C246" s="6">
        <f>SUM(Волгоград!C246,Саратов!C246,Астрахань!C246,РК!C246,Пенза!C246)</f>
        <v>0</v>
      </c>
      <c r="D246" s="6">
        <f>SUM(Волгоград!D246,Саратов!D246,Астрахань!D246,РК!D246,Пенза!D246)</f>
        <v>0</v>
      </c>
      <c r="E246" s="6">
        <f>SUM(Волгоград!E246,Саратов!E246,Астрахань!E246,РК!E246,Пенза!E246)</f>
        <v>0</v>
      </c>
    </row>
    <row r="247" spans="1:5" ht="60.75" thickBot="1" x14ac:dyDescent="0.3">
      <c r="A247" s="12" t="s">
        <v>451</v>
      </c>
      <c r="B247" s="26" t="s">
        <v>452</v>
      </c>
      <c r="C247" s="6">
        <f>SUM(Волгоград!C247,Саратов!C247,Астрахань!C247,РК!C247,Пенза!C247)</f>
        <v>0</v>
      </c>
      <c r="D247" s="6">
        <f>SUM(Волгоград!D247,Саратов!D247,Астрахань!D247,РК!D247,Пенза!D247)</f>
        <v>0</v>
      </c>
      <c r="E247" s="6">
        <f>SUM(Волгоград!E247,Саратов!E247,Астрахань!E247,РК!E247,Пенза!E247)</f>
        <v>0</v>
      </c>
    </row>
    <row r="248" spans="1:5" ht="15.75" thickBot="1" x14ac:dyDescent="0.3">
      <c r="A248" s="12" t="s">
        <v>453</v>
      </c>
      <c r="B248" s="26" t="s">
        <v>454</v>
      </c>
      <c r="C248" s="6">
        <f>SUM(Волгоград!C248,Саратов!C248,Астрахань!C248,РК!C248,Пенза!C248)</f>
        <v>0</v>
      </c>
      <c r="D248" s="6">
        <f>SUM(Волгоград!D248,Саратов!D248,Астрахань!D248,РК!D248,Пенза!D248)</f>
        <v>0</v>
      </c>
      <c r="E248" s="6">
        <f>SUM(Волгоград!E248,Саратов!E248,Астрахань!E248,РК!E248,Пенза!E248)</f>
        <v>0</v>
      </c>
    </row>
    <row r="249" spans="1:5" ht="15.75" thickBot="1" x14ac:dyDescent="0.3">
      <c r="A249" s="12" t="s">
        <v>455</v>
      </c>
      <c r="B249" s="26" t="s">
        <v>456</v>
      </c>
      <c r="C249" s="6">
        <f>SUM(Волгоград!C249,Саратов!C249,Астрахань!C249,РК!C249,Пенза!C249)</f>
        <v>3</v>
      </c>
      <c r="D249" s="6">
        <f>SUM(Волгоград!D249,Саратов!D249,Астрахань!D249,РК!D249,Пенза!D249)</f>
        <v>3</v>
      </c>
      <c r="E249" s="6">
        <f>SUM(Волгоград!E249,Саратов!E249,Астрахань!E249,РК!E249,Пенза!E249)</f>
        <v>0</v>
      </c>
    </row>
    <row r="250" spans="1:5" ht="15.75" thickBot="1" x14ac:dyDescent="0.3">
      <c r="A250" s="12" t="s">
        <v>457</v>
      </c>
      <c r="B250" s="26" t="s">
        <v>458</v>
      </c>
      <c r="C250" s="6">
        <f>SUM(Волгоград!C250,Саратов!C250,Астрахань!C250,РК!C250,Пенза!C250)</f>
        <v>0</v>
      </c>
      <c r="D250" s="6">
        <f>SUM(Волгоград!D250,Саратов!D250,Астрахань!D250,РК!D250,Пенза!D250)</f>
        <v>0</v>
      </c>
      <c r="E250" s="6">
        <f>SUM(Волгоград!E250,Саратов!E250,Астрахань!E250,РК!E250,Пенза!E250)</f>
        <v>0</v>
      </c>
    </row>
    <row r="251" spans="1:5" ht="15.75" thickBot="1" x14ac:dyDescent="0.3">
      <c r="A251" s="12" t="s">
        <v>459</v>
      </c>
      <c r="B251" s="26" t="s">
        <v>392</v>
      </c>
      <c r="C251" s="6">
        <f>SUM(Волгоград!C251,Саратов!C251,Астрахань!C251,РК!C251,Пенза!C251)</f>
        <v>0</v>
      </c>
      <c r="D251" s="6">
        <f>SUM(Волгоград!D251,Саратов!D251,Астрахань!D251,РК!D251,Пенза!D251)</f>
        <v>0</v>
      </c>
      <c r="E251" s="6">
        <f>SUM(Волгоград!E251,Саратов!E251,Астрахань!E251,РК!E251,Пенза!E251)</f>
        <v>0</v>
      </c>
    </row>
    <row r="252" spans="1:5" ht="24.75" thickBot="1" x14ac:dyDescent="0.3">
      <c r="A252" s="7" t="s">
        <v>460</v>
      </c>
      <c r="B252" s="23" t="s">
        <v>461</v>
      </c>
      <c r="C252" s="11">
        <f>SUM(Волгоград!C252,Саратов!C252,Астрахань!C252,РК!C252,Пенза!C252)</f>
        <v>0</v>
      </c>
      <c r="D252" s="11">
        <f>SUM(Волгоград!D252,Саратов!D252,Астрахань!D252,РК!D252,Пенза!D252)</f>
        <v>0</v>
      </c>
      <c r="E252" s="11">
        <f>SUM(Волгоград!E252,Саратов!E252,Астрахань!E252,РК!E252,Пенза!E252)</f>
        <v>0</v>
      </c>
    </row>
    <row r="253" spans="1:5" ht="48.75" thickBot="1" x14ac:dyDescent="0.3">
      <c r="A253" s="7" t="s">
        <v>462</v>
      </c>
      <c r="B253" s="23" t="s">
        <v>463</v>
      </c>
      <c r="C253" s="11">
        <f>SUM(Волгоград!C253,Саратов!C253,Астрахань!C253,РК!C253,Пенза!C253)</f>
        <v>0</v>
      </c>
      <c r="D253" s="11">
        <f>SUM(Волгоград!D253,Саратов!D253,Астрахань!D253,РК!D253,Пенза!D253)</f>
        <v>0</v>
      </c>
      <c r="E253" s="11">
        <f>SUM(Волгоград!E253,Саратов!E253,Астрахань!E253,РК!E253,Пенза!E253)</f>
        <v>0</v>
      </c>
    </row>
    <row r="254" spans="1:5" ht="24.75" thickBot="1" x14ac:dyDescent="0.3">
      <c r="A254" s="7" t="s">
        <v>464</v>
      </c>
      <c r="B254" s="23" t="s">
        <v>465</v>
      </c>
      <c r="C254" s="11">
        <f>SUM(Волгоград!C254,Саратов!C254,Астрахань!C254,РК!C254,Пенза!C254)</f>
        <v>0</v>
      </c>
      <c r="D254" s="11">
        <f>SUM(Волгоград!D254,Саратов!D254,Астрахань!D254,РК!D254,Пенза!D254)</f>
        <v>0</v>
      </c>
      <c r="E254" s="11">
        <f>SUM(Волгоград!E254,Саратов!E254,Астрахань!E254,РК!E254,Пенза!E254)</f>
        <v>0</v>
      </c>
    </row>
    <row r="255" spans="1:5" ht="15.75" thickBot="1" x14ac:dyDescent="0.3">
      <c r="A255" s="8" t="s">
        <v>466</v>
      </c>
      <c r="B255" s="24" t="s">
        <v>467</v>
      </c>
      <c r="C255" s="6">
        <f>SUM(Волгоград!C255,Саратов!C255,Астрахань!C255,РК!C255,Пенза!C255)</f>
        <v>0</v>
      </c>
      <c r="D255" s="6">
        <f>SUM(Волгоград!D255,Саратов!D255,Астрахань!D255,РК!D255,Пенза!D255)</f>
        <v>0</v>
      </c>
      <c r="E255" s="6">
        <f>SUM(Волгоград!E255,Саратов!E255,Астрахань!E255,РК!E255,Пенза!E255)</f>
        <v>0</v>
      </c>
    </row>
    <row r="256" spans="1:5" ht="24.75" thickBot="1" x14ac:dyDescent="0.3">
      <c r="A256" s="10" t="s">
        <v>468</v>
      </c>
      <c r="B256" s="26" t="s">
        <v>469</v>
      </c>
      <c r="C256" s="6">
        <f>SUM(Волгоград!C256,Саратов!C256,Астрахань!C256,РК!C256,Пенза!C256)</f>
        <v>0</v>
      </c>
      <c r="D256" s="6">
        <f>SUM(Волгоград!D256,Саратов!D256,Астрахань!D256,РК!D256,Пенза!D256)</f>
        <v>0</v>
      </c>
      <c r="E256" s="6">
        <f>SUM(Волгоград!E256,Саратов!E256,Астрахань!E256,РК!E256,Пенза!E256)</f>
        <v>0</v>
      </c>
    </row>
    <row r="257" spans="1:5" ht="15.75" thickBot="1" x14ac:dyDescent="0.3">
      <c r="A257" s="10"/>
      <c r="B257" s="26" t="s">
        <v>470</v>
      </c>
      <c r="C257" s="6">
        <f>SUM(Волгоград!C257,Саратов!C257,Астрахань!C257,РК!C257,Пенза!C257)</f>
        <v>0</v>
      </c>
      <c r="D257" s="6">
        <f>SUM(Волгоград!D257,Саратов!D257,Астрахань!D257,РК!D257,Пенза!D257)</f>
        <v>0</v>
      </c>
      <c r="E257" s="6">
        <f>SUM(Волгоград!E257,Саратов!E257,Астрахань!E257,РК!E257,Пенза!E257)</f>
        <v>0</v>
      </c>
    </row>
    <row r="258" spans="1:5" ht="15.75" thickBot="1" x14ac:dyDescent="0.3">
      <c r="A258" s="10" t="s">
        <v>471</v>
      </c>
      <c r="B258" s="26" t="s">
        <v>472</v>
      </c>
      <c r="C258" s="6">
        <f>SUM(Волгоград!C258,Саратов!C258,Астрахань!C258,РК!C258,Пенза!C258)</f>
        <v>0</v>
      </c>
      <c r="D258" s="6">
        <f>SUM(Волгоград!D258,Саратов!D258,Астрахань!D258,РК!D258,Пенза!D258)</f>
        <v>0</v>
      </c>
      <c r="E258" s="6">
        <f>SUM(Волгоград!E258,Саратов!E258,Астрахань!E258,РК!E258,Пенза!E258)</f>
        <v>0</v>
      </c>
    </row>
    <row r="259" spans="1:5" ht="15.75" thickBot="1" x14ac:dyDescent="0.3">
      <c r="A259" s="10" t="s">
        <v>473</v>
      </c>
      <c r="B259" s="26" t="s">
        <v>474</v>
      </c>
      <c r="C259" s="6">
        <f>SUM(Волгоград!C259,Саратов!C259,Астрахань!C259,РК!C259,Пенза!C259)</f>
        <v>0</v>
      </c>
      <c r="D259" s="6">
        <f>SUM(Волгоград!D259,Саратов!D259,Астрахань!D259,РК!D259,Пенза!D259)</f>
        <v>0</v>
      </c>
      <c r="E259" s="6">
        <f>SUM(Волгоград!E259,Саратов!E259,Астрахань!E259,РК!E259,Пенза!E259)</f>
        <v>0</v>
      </c>
    </row>
    <row r="260" spans="1:5" ht="15.75" thickBot="1" x14ac:dyDescent="0.3">
      <c r="A260" s="10" t="s">
        <v>475</v>
      </c>
      <c r="B260" s="26" t="s">
        <v>476</v>
      </c>
      <c r="C260" s="6">
        <f>SUM(Волгоград!C260,Саратов!C260,Астрахань!C260,РК!C260,Пенза!C260)</f>
        <v>1</v>
      </c>
      <c r="D260" s="6">
        <f>SUM(Волгоград!D260,Саратов!D260,Астрахань!D260,РК!D260,Пенза!D260)</f>
        <v>0</v>
      </c>
      <c r="E260" s="6">
        <f>SUM(Волгоград!E260,Саратов!E260,Астрахань!E260,РК!E260,Пенза!E260)</f>
        <v>0</v>
      </c>
    </row>
    <row r="261" spans="1:5" ht="15.75" thickBot="1" x14ac:dyDescent="0.3">
      <c r="A261" s="10" t="s">
        <v>477</v>
      </c>
      <c r="B261" s="26" t="s">
        <v>478</v>
      </c>
      <c r="C261" s="6">
        <f>SUM(Волгоград!C261,Саратов!C261,Астрахань!C261,РК!C261,Пенза!C261)</f>
        <v>0</v>
      </c>
      <c r="D261" s="6">
        <f>SUM(Волгоград!D261,Саратов!D261,Астрахань!D261,РК!D261,Пенза!D261)</f>
        <v>0</v>
      </c>
      <c r="E261" s="6">
        <f>SUM(Волгоград!E261,Саратов!E261,Астрахань!E261,РК!E261,Пенза!E261)</f>
        <v>0</v>
      </c>
    </row>
    <row r="262" spans="1:5" ht="15.75" thickBot="1" x14ac:dyDescent="0.3">
      <c r="A262" s="10" t="s">
        <v>479</v>
      </c>
      <c r="B262" s="26" t="s">
        <v>474</v>
      </c>
      <c r="C262" s="6">
        <f>SUM(Волгоград!C262,Саратов!C262,Астрахань!C262,РК!C262,Пенза!C262)</f>
        <v>1</v>
      </c>
      <c r="D262" s="6">
        <f>SUM(Волгоград!D262,Саратов!D262,Астрахань!D262,РК!D262,Пенза!D262)</f>
        <v>0</v>
      </c>
      <c r="E262" s="6">
        <f>SUM(Волгоград!E262,Саратов!E262,Астрахань!E262,РК!E262,Пенза!E262)</f>
        <v>0</v>
      </c>
    </row>
    <row r="263" spans="1:5" ht="24.75" thickBot="1" x14ac:dyDescent="0.3">
      <c r="A263" s="7" t="s">
        <v>480</v>
      </c>
      <c r="B263" s="23" t="s">
        <v>481</v>
      </c>
      <c r="C263" s="11">
        <f>SUM(Волгоград!C263,Саратов!C263,Астрахань!C263,РК!C263,Пенза!C263)</f>
        <v>0</v>
      </c>
      <c r="D263" s="11">
        <f>SUM(Волгоград!D263,Саратов!D263,Астрахань!D263,РК!D263,Пенза!D263)</f>
        <v>0</v>
      </c>
      <c r="E263" s="11">
        <f>SUM(Волгоград!E263,Саратов!E263,Астрахань!E263,РК!E263,Пенза!E263)</f>
        <v>0</v>
      </c>
    </row>
    <row r="264" spans="1:5" ht="15.75" thickBot="1" x14ac:dyDescent="0.3">
      <c r="A264" s="10"/>
      <c r="B264" s="26" t="s">
        <v>470</v>
      </c>
      <c r="C264" s="6">
        <f>SUM(Волгоград!C264,Саратов!C264,Астрахань!C264,РК!C264,Пенза!C264)</f>
        <v>0</v>
      </c>
      <c r="D264" s="6">
        <f>SUM(Волгоград!D264,Саратов!D264,Астрахань!D264,РК!D264,Пенза!D264)</f>
        <v>0</v>
      </c>
      <c r="E264" s="6">
        <f>SUM(Волгоград!E264,Саратов!E264,Астрахань!E264,РК!E264,Пенза!E264)</f>
        <v>0</v>
      </c>
    </row>
    <row r="265" spans="1:5" ht="24.75" thickBot="1" x14ac:dyDescent="0.3">
      <c r="A265" s="10" t="s">
        <v>482</v>
      </c>
      <c r="B265" s="26" t="s">
        <v>483</v>
      </c>
      <c r="C265" s="6">
        <f>SUM(Волгоград!C265,Саратов!C265,Астрахань!C265,РК!C265,Пенза!C265)</f>
        <v>0</v>
      </c>
      <c r="D265" s="6">
        <f>SUM(Волгоград!D265,Саратов!D265,Астрахань!D265,РК!D265,Пенза!D265)</f>
        <v>0</v>
      </c>
      <c r="E265" s="6">
        <f>SUM(Волгоград!E265,Саратов!E265,Астрахань!E265,РК!E265,Пенза!E265)</f>
        <v>0</v>
      </c>
    </row>
    <row r="266" spans="1:5" ht="24.75" thickBot="1" x14ac:dyDescent="0.3">
      <c r="A266" s="10" t="s">
        <v>484</v>
      </c>
      <c r="B266" s="26" t="s">
        <v>485</v>
      </c>
      <c r="C266" s="6">
        <f>SUM(Волгоград!C266,Саратов!C266,Астрахань!C266,РК!C266,Пенза!C266)</f>
        <v>0</v>
      </c>
      <c r="D266" s="6">
        <f>SUM(Волгоград!D266,Саратов!D266,Астрахань!D266,РК!D266,Пенза!D266)</f>
        <v>0</v>
      </c>
      <c r="E266" s="6">
        <f>SUM(Волгоград!E266,Саратов!E266,Астрахань!E266,РК!E266,Пенза!E266)</f>
        <v>0</v>
      </c>
    </row>
    <row r="267" spans="1:5" ht="24.75" thickBot="1" x14ac:dyDescent="0.3">
      <c r="A267" s="10" t="s">
        <v>484</v>
      </c>
      <c r="B267" s="26" t="s">
        <v>486</v>
      </c>
      <c r="C267" s="6">
        <f>SUM(Волгоград!C267,Саратов!C267,Астрахань!C267,РК!C267,Пенза!C267)</f>
        <v>0</v>
      </c>
      <c r="D267" s="6">
        <f>SUM(Волгоград!D267,Саратов!D267,Астрахань!D267,РК!D267,Пенза!D267)</f>
        <v>0</v>
      </c>
      <c r="E267" s="6">
        <f>SUM(Волгоград!E267,Саратов!E267,Астрахань!E267,РК!E267,Пенза!E267)</f>
        <v>0</v>
      </c>
    </row>
    <row r="268" spans="1:5" ht="15.75" thickBot="1" x14ac:dyDescent="0.3">
      <c r="A268" s="19"/>
      <c r="B268" s="76"/>
      <c r="C268" s="76"/>
      <c r="D268" s="76"/>
      <c r="E268" s="76"/>
    </row>
    <row r="269" spans="1:5" ht="24" customHeight="1" x14ac:dyDescent="0.25">
      <c r="A269" s="82"/>
      <c r="B269" s="82"/>
      <c r="C269" s="82"/>
      <c r="D269" s="82"/>
      <c r="E269" s="82"/>
    </row>
    <row r="270" spans="1:5" x14ac:dyDescent="0.25">
      <c r="A270" s="19"/>
      <c r="B270" s="76"/>
      <c r="C270" s="76"/>
      <c r="D270" s="76"/>
      <c r="E270" s="76"/>
    </row>
    <row r="271" spans="1:5" ht="34.5" customHeight="1" x14ac:dyDescent="0.25">
      <c r="A271" s="19"/>
      <c r="B271" s="77"/>
      <c r="C271" s="77"/>
      <c r="D271" s="77"/>
      <c r="E271" s="77"/>
    </row>
    <row r="272" spans="1:5" x14ac:dyDescent="0.25">
      <c r="A272" s="19"/>
      <c r="B272" s="76"/>
      <c r="C272" s="76"/>
      <c r="D272" s="76"/>
      <c r="E272" s="76"/>
    </row>
    <row r="273" spans="1:1" ht="15.75" x14ac:dyDescent="0.25">
      <c r="A273" s="20"/>
    </row>
  </sheetData>
  <mergeCells count="16">
    <mergeCell ref="B272:E272"/>
    <mergeCell ref="B270:E270"/>
    <mergeCell ref="B271:E271"/>
    <mergeCell ref="A106:A107"/>
    <mergeCell ref="C106:C107"/>
    <mergeCell ref="D106:D107"/>
    <mergeCell ref="E106:E107"/>
    <mergeCell ref="A269:E269"/>
    <mergeCell ref="B268:E268"/>
    <mergeCell ref="A1:E1"/>
    <mergeCell ref="A3:E3"/>
    <mergeCell ref="A4:E4"/>
    <mergeCell ref="A5:B5"/>
    <mergeCell ref="A7:A8"/>
    <mergeCell ref="C7:C8"/>
    <mergeCell ref="D7:E7"/>
  </mergeCells>
  <pageMargins left="0.7" right="0.7" top="0.75" bottom="0.75" header="0.3" footer="0.3"/>
  <pageSetup paperSize="9" scale="83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topLeftCell="A4" zoomScaleNormal="100" zoomScaleSheetLayoutView="100" workbookViewId="0">
      <pane ySplit="1980" topLeftCell="A266" activePane="bottomLeft"/>
      <selection activeCell="A4" sqref="A4:E4"/>
      <selection pane="bottomLeft" activeCell="A268" sqref="A268:E269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/>
  </cols>
  <sheetData>
    <row r="1" spans="1:11" ht="15.75" x14ac:dyDescent="0.25">
      <c r="A1" s="66" t="s">
        <v>0</v>
      </c>
      <c r="B1" s="66"/>
      <c r="C1" s="66"/>
      <c r="D1" s="66"/>
      <c r="E1" s="66"/>
    </row>
    <row r="2" spans="1:11" ht="15.75" x14ac:dyDescent="0.25">
      <c r="A2" s="1"/>
    </row>
    <row r="3" spans="1:11" ht="31.5" customHeight="1" x14ac:dyDescent="0.25">
      <c r="A3" s="67" t="s">
        <v>1</v>
      </c>
      <c r="B3" s="67"/>
      <c r="C3" s="67"/>
      <c r="D3" s="67"/>
      <c r="E3" s="67"/>
    </row>
    <row r="4" spans="1:11" ht="15.75" x14ac:dyDescent="0.25">
      <c r="A4" s="68" t="s">
        <v>504</v>
      </c>
      <c r="B4" s="68"/>
      <c r="C4" s="68"/>
      <c r="D4" s="68"/>
      <c r="E4" s="68"/>
    </row>
    <row r="5" spans="1:11" ht="18.75" x14ac:dyDescent="0.25">
      <c r="A5" s="69" t="s">
        <v>2</v>
      </c>
      <c r="B5" s="69"/>
      <c r="C5" s="33" t="s">
        <v>3</v>
      </c>
    </row>
    <row r="6" spans="1:11" ht="16.5" thickBot="1" x14ac:dyDescent="0.3">
      <c r="A6" s="1"/>
    </row>
    <row r="7" spans="1:11" ht="15.75" thickBot="1" x14ac:dyDescent="0.3">
      <c r="A7" s="70" t="s">
        <v>4</v>
      </c>
      <c r="B7" s="3" t="s">
        <v>5</v>
      </c>
      <c r="C7" s="72" t="s">
        <v>6</v>
      </c>
      <c r="D7" s="74" t="s">
        <v>7</v>
      </c>
      <c r="E7" s="75"/>
    </row>
    <row r="8" spans="1:11" ht="15.75" thickBot="1" x14ac:dyDescent="0.3">
      <c r="A8" s="71"/>
      <c r="B8" s="4" t="s">
        <v>5</v>
      </c>
      <c r="C8" s="73"/>
      <c r="D8" s="4" t="s">
        <v>8</v>
      </c>
      <c r="E8" s="4" t="s">
        <v>9</v>
      </c>
    </row>
    <row r="9" spans="1:11" ht="15.75" thickBot="1" x14ac:dyDescent="0.3">
      <c r="A9" s="5">
        <v>1</v>
      </c>
      <c r="B9" s="6">
        <v>2</v>
      </c>
      <c r="C9" s="6">
        <v>3</v>
      </c>
      <c r="D9" s="6">
        <v>4</v>
      </c>
      <c r="E9" s="6">
        <v>5</v>
      </c>
    </row>
    <row r="10" spans="1:11" ht="36.75" thickBot="1" x14ac:dyDescent="0.3">
      <c r="A10" s="7" t="s">
        <v>10</v>
      </c>
      <c r="B10" s="23" t="s">
        <v>11</v>
      </c>
      <c r="C10" s="11">
        <f>D10+E10</f>
        <v>209</v>
      </c>
      <c r="D10" s="11">
        <f t="shared" ref="D10:E10" si="0">D11+D12+D22</f>
        <v>135</v>
      </c>
      <c r="E10" s="11">
        <f t="shared" si="0"/>
        <v>74</v>
      </c>
      <c r="G10">
        <f>C10</f>
        <v>209</v>
      </c>
      <c r="H10">
        <f>C25+C30</f>
        <v>209</v>
      </c>
      <c r="K10">
        <v>136</v>
      </c>
    </row>
    <row r="11" spans="1:11" ht="15.75" thickBot="1" x14ac:dyDescent="0.3">
      <c r="A11" s="8" t="s">
        <v>12</v>
      </c>
      <c r="B11" s="24" t="s">
        <v>13</v>
      </c>
      <c r="C11" s="9">
        <f>D11+E11</f>
        <v>76</v>
      </c>
      <c r="D11" s="9">
        <f>10+10+14+13</f>
        <v>47</v>
      </c>
      <c r="E11" s="9">
        <f>5+7+7+10</f>
        <v>29</v>
      </c>
      <c r="G11">
        <f>C11</f>
        <v>76</v>
      </c>
      <c r="H11">
        <f>C26+C31</f>
        <v>76</v>
      </c>
      <c r="K11">
        <v>53</v>
      </c>
    </row>
    <row r="12" spans="1:11" ht="24.75" thickBot="1" x14ac:dyDescent="0.3">
      <c r="A12" s="10" t="s">
        <v>14</v>
      </c>
      <c r="B12" s="25" t="s">
        <v>15</v>
      </c>
      <c r="C12" s="6">
        <f>C13+C14+C15+C16+C17+C18+C19+C20+C21</f>
        <v>133</v>
      </c>
      <c r="D12" s="6">
        <f t="shared" ref="D12:E12" si="1">D13+D14+D15+D16+D17+D18+D19+D20+D21</f>
        <v>88</v>
      </c>
      <c r="E12" s="6">
        <f t="shared" si="1"/>
        <v>45</v>
      </c>
    </row>
    <row r="13" spans="1:11" ht="24.75" thickBot="1" x14ac:dyDescent="0.3">
      <c r="A13" s="8" t="s">
        <v>16</v>
      </c>
      <c r="B13" s="24" t="s">
        <v>17</v>
      </c>
      <c r="C13" s="9">
        <v>7</v>
      </c>
      <c r="D13" s="9">
        <v>3</v>
      </c>
      <c r="E13" s="9">
        <f>4</f>
        <v>4</v>
      </c>
    </row>
    <row r="14" spans="1:11" ht="24.75" thickBot="1" x14ac:dyDescent="0.3">
      <c r="A14" s="8" t="s">
        <v>18</v>
      </c>
      <c r="B14" s="24" t="s">
        <v>19</v>
      </c>
      <c r="C14" s="9"/>
      <c r="D14" s="9"/>
      <c r="E14" s="9"/>
    </row>
    <row r="15" spans="1:11" ht="24.75" thickBot="1" x14ac:dyDescent="0.3">
      <c r="A15" s="8" t="s">
        <v>20</v>
      </c>
      <c r="B15" s="24" t="s">
        <v>21</v>
      </c>
      <c r="C15" s="9"/>
      <c r="D15" s="9"/>
      <c r="E15" s="9"/>
    </row>
    <row r="16" spans="1:11" ht="24.75" thickBot="1" x14ac:dyDescent="0.3">
      <c r="A16" s="8" t="s">
        <v>22</v>
      </c>
      <c r="B16" s="24" t="s">
        <v>23</v>
      </c>
      <c r="C16" s="9">
        <v>86</v>
      </c>
      <c r="D16" s="9">
        <f>39+20</f>
        <v>59</v>
      </c>
      <c r="E16" s="9">
        <f>15+12</f>
        <v>27</v>
      </c>
    </row>
    <row r="17" spans="1:8" ht="24.75" thickBot="1" x14ac:dyDescent="0.3">
      <c r="A17" s="8" t="s">
        <v>24</v>
      </c>
      <c r="B17" s="24" t="s">
        <v>25</v>
      </c>
      <c r="C17" s="9">
        <v>35</v>
      </c>
      <c r="D17" s="9">
        <f>2+9+3+8</f>
        <v>22</v>
      </c>
      <c r="E17" s="9">
        <f>1+4+3+5</f>
        <v>13</v>
      </c>
    </row>
    <row r="18" spans="1:8" ht="24.75" thickBot="1" x14ac:dyDescent="0.3">
      <c r="A18" s="10" t="s">
        <v>26</v>
      </c>
      <c r="B18" s="24" t="s">
        <v>27</v>
      </c>
      <c r="C18" s="6">
        <v>1</v>
      </c>
      <c r="D18" s="6">
        <v>1</v>
      </c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491</v>
      </c>
      <c r="C20" s="37">
        <f>1</f>
        <v>1</v>
      </c>
      <c r="D20" s="37">
        <f>1</f>
        <v>1</v>
      </c>
      <c r="E20" s="37"/>
    </row>
    <row r="21" spans="1:8" ht="36.75" thickBot="1" x14ac:dyDescent="0.3">
      <c r="A21" s="10" t="s">
        <v>31</v>
      </c>
      <c r="B21" s="26" t="s">
        <v>32</v>
      </c>
      <c r="C21" s="6">
        <v>3</v>
      </c>
      <c r="D21" s="6">
        <v>2</v>
      </c>
      <c r="E21" s="6">
        <v>1</v>
      </c>
    </row>
    <row r="22" spans="1:8" ht="24.75" thickBot="1" x14ac:dyDescent="0.3">
      <c r="A22" s="8" t="s">
        <v>33</v>
      </c>
      <c r="B22" s="24" t="s">
        <v>34</v>
      </c>
      <c r="C22" s="9">
        <f>C23+C24</f>
        <v>0</v>
      </c>
      <c r="D22" s="9">
        <v>0</v>
      </c>
      <c r="E22" s="9">
        <v>0</v>
      </c>
    </row>
    <row r="23" spans="1:8" ht="15.75" thickBot="1" x14ac:dyDescent="0.3">
      <c r="A23" s="10" t="s">
        <v>35</v>
      </c>
      <c r="B23" s="26" t="s">
        <v>36</v>
      </c>
      <c r="C23" s="6">
        <v>0</v>
      </c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>
        <v>0</v>
      </c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>
        <f>C26+C27</f>
        <v>103</v>
      </c>
      <c r="D25" s="11">
        <f t="shared" ref="D25:E25" si="2">D26+D27</f>
        <v>63</v>
      </c>
      <c r="E25" s="11">
        <f t="shared" si="2"/>
        <v>40</v>
      </c>
      <c r="G25">
        <f>C25</f>
        <v>103</v>
      </c>
      <c r="H25">
        <f>C26+C27</f>
        <v>103</v>
      </c>
    </row>
    <row r="26" spans="1:8" ht="15.75" thickBot="1" x14ac:dyDescent="0.3">
      <c r="A26" s="10" t="s">
        <v>41</v>
      </c>
      <c r="B26" s="26" t="s">
        <v>42</v>
      </c>
      <c r="C26" s="6">
        <v>17</v>
      </c>
      <c r="D26" s="6">
        <f>4+3+3</f>
        <v>10</v>
      </c>
      <c r="E26" s="6">
        <f>1+2+4</f>
        <v>7</v>
      </c>
    </row>
    <row r="27" spans="1:8" ht="24.75" thickBot="1" x14ac:dyDescent="0.3">
      <c r="A27" s="10" t="s">
        <v>43</v>
      </c>
      <c r="B27" s="26" t="s">
        <v>44</v>
      </c>
      <c r="C27" s="6">
        <v>86</v>
      </c>
      <c r="D27" s="6">
        <f>29+15+7+2</f>
        <v>53</v>
      </c>
      <c r="E27" s="6">
        <f>19+10+4</f>
        <v>33</v>
      </c>
    </row>
    <row r="28" spans="1:8" ht="36.75" thickBot="1" x14ac:dyDescent="0.3">
      <c r="A28" s="10" t="s">
        <v>45</v>
      </c>
      <c r="B28" s="26" t="s">
        <v>46</v>
      </c>
      <c r="C28" s="6">
        <v>54</v>
      </c>
      <c r="D28" s="6">
        <f>19+15</f>
        <v>34</v>
      </c>
      <c r="E28" s="6">
        <f>10+10</f>
        <v>20</v>
      </c>
    </row>
    <row r="29" spans="1:8" ht="15.75" thickBot="1" x14ac:dyDescent="0.3">
      <c r="A29" s="10" t="s">
        <v>47</v>
      </c>
      <c r="B29" s="26" t="s">
        <v>48</v>
      </c>
      <c r="C29" s="6">
        <v>23</v>
      </c>
      <c r="D29" s="6">
        <f>3+2+9</f>
        <v>14</v>
      </c>
      <c r="E29" s="6">
        <f>2+2+3+2</f>
        <v>9</v>
      </c>
    </row>
    <row r="30" spans="1:8" ht="24.75" thickBot="1" x14ac:dyDescent="0.3">
      <c r="A30" s="7" t="s">
        <v>49</v>
      </c>
      <c r="B30" s="23" t="s">
        <v>50</v>
      </c>
      <c r="C30" s="11">
        <f>C31+C32</f>
        <v>106</v>
      </c>
      <c r="D30" s="11">
        <f t="shared" ref="D30:E30" si="3">D31+D32</f>
        <v>72</v>
      </c>
      <c r="E30" s="11">
        <f t="shared" si="3"/>
        <v>34</v>
      </c>
      <c r="G30">
        <f>C30</f>
        <v>106</v>
      </c>
      <c r="H30">
        <f>C31+C32</f>
        <v>106</v>
      </c>
    </row>
    <row r="31" spans="1:8" ht="15.75" thickBot="1" x14ac:dyDescent="0.3">
      <c r="A31" s="12" t="s">
        <v>51</v>
      </c>
      <c r="B31" s="26" t="s">
        <v>52</v>
      </c>
      <c r="C31" s="6">
        <v>59</v>
      </c>
      <c r="D31" s="6">
        <f>10+6+2+9+10</f>
        <v>37</v>
      </c>
      <c r="E31" s="6">
        <f>4+5+7+6</f>
        <v>22</v>
      </c>
    </row>
    <row r="32" spans="1:8" ht="24.75" thickBot="1" x14ac:dyDescent="0.3">
      <c r="A32" s="12" t="s">
        <v>53</v>
      </c>
      <c r="B32" s="26" t="s">
        <v>54</v>
      </c>
      <c r="C32" s="6">
        <v>47</v>
      </c>
      <c r="D32" s="6">
        <f>27+5+1+2</f>
        <v>35</v>
      </c>
      <c r="E32" s="6">
        <f>8+2+1+1</f>
        <v>12</v>
      </c>
    </row>
    <row r="33" spans="1:5" ht="48.75" thickBot="1" x14ac:dyDescent="0.3">
      <c r="A33" s="12" t="s">
        <v>55</v>
      </c>
      <c r="B33" s="26" t="s">
        <v>56</v>
      </c>
      <c r="C33" s="6">
        <v>32</v>
      </c>
      <c r="D33" s="6">
        <f>2+8+10+5</f>
        <v>25</v>
      </c>
      <c r="E33" s="6">
        <f>3+2+2</f>
        <v>7</v>
      </c>
    </row>
    <row r="34" spans="1:5" ht="15.75" thickBot="1" x14ac:dyDescent="0.3">
      <c r="A34" s="12" t="s">
        <v>57</v>
      </c>
      <c r="B34" s="26" t="s">
        <v>58</v>
      </c>
      <c r="C34" s="6">
        <v>12</v>
      </c>
      <c r="D34" s="6">
        <f>1+5+1+1</f>
        <v>8</v>
      </c>
      <c r="E34" s="6">
        <f>1+2+1</f>
        <v>4</v>
      </c>
    </row>
    <row r="35" spans="1:5" ht="72.75" thickBot="1" x14ac:dyDescent="0.3">
      <c r="A35" s="12" t="s">
        <v>59</v>
      </c>
      <c r="B35" s="26" t="s">
        <v>60</v>
      </c>
      <c r="C35" s="6">
        <v>0</v>
      </c>
      <c r="D35" s="6">
        <v>0</v>
      </c>
      <c r="E35" s="6">
        <v>0</v>
      </c>
    </row>
    <row r="36" spans="1:5" ht="15.75" thickBot="1" x14ac:dyDescent="0.3">
      <c r="A36" s="12" t="s">
        <v>61</v>
      </c>
      <c r="B36" s="26" t="s">
        <v>62</v>
      </c>
      <c r="C36" s="6">
        <v>0</v>
      </c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>
        <v>0</v>
      </c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>
        <v>0</v>
      </c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>
        <v>0</v>
      </c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>
        <v>0</v>
      </c>
      <c r="D40" s="6"/>
      <c r="E40" s="6"/>
    </row>
    <row r="41" spans="1:5" ht="15.75" thickBot="1" x14ac:dyDescent="0.3">
      <c r="A41" s="13" t="s">
        <v>492</v>
      </c>
      <c r="B41" s="26" t="s">
        <v>71</v>
      </c>
      <c r="C41" s="6">
        <v>0</v>
      </c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>
        <v>0</v>
      </c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3</v>
      </c>
      <c r="D44" s="11">
        <v>3</v>
      </c>
      <c r="E44" s="11">
        <v>0</v>
      </c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>
        <v>0</v>
      </c>
      <c r="D46" s="11">
        <v>0</v>
      </c>
      <c r="E46" s="11">
        <v>0</v>
      </c>
    </row>
    <row r="47" spans="1:5" ht="15.75" thickBot="1" x14ac:dyDescent="0.3">
      <c r="A47" s="10" t="s">
        <v>82</v>
      </c>
      <c r="B47" s="26" t="s">
        <v>83</v>
      </c>
      <c r="C47" s="6">
        <v>0</v>
      </c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>
        <v>0</v>
      </c>
      <c r="D48" s="6"/>
      <c r="E48" s="6"/>
    </row>
    <row r="49" spans="1:6" ht="15.75" thickBot="1" x14ac:dyDescent="0.3">
      <c r="A49" s="10" t="s">
        <v>86</v>
      </c>
      <c r="B49" s="26" t="s">
        <v>87</v>
      </c>
      <c r="C49" s="6">
        <v>0</v>
      </c>
      <c r="D49" s="6"/>
      <c r="E49" s="6"/>
    </row>
    <row r="50" spans="1:6" ht="48.75" thickBot="1" x14ac:dyDescent="0.3">
      <c r="A50" s="7" t="s">
        <v>88</v>
      </c>
      <c r="B50" s="23" t="s">
        <v>89</v>
      </c>
      <c r="C50" s="11">
        <v>0</v>
      </c>
      <c r="D50" s="11">
        <v>0</v>
      </c>
      <c r="E50" s="11">
        <v>0</v>
      </c>
    </row>
    <row r="51" spans="1:6" ht="15.75" thickBot="1" x14ac:dyDescent="0.3">
      <c r="A51" s="7" t="s">
        <v>90</v>
      </c>
      <c r="B51" s="23" t="s">
        <v>91</v>
      </c>
      <c r="C51" s="11">
        <v>0</v>
      </c>
      <c r="D51" s="11">
        <v>0</v>
      </c>
      <c r="E51" s="11">
        <v>0</v>
      </c>
    </row>
    <row r="52" spans="1:6" ht="24.75" thickBot="1" x14ac:dyDescent="0.3">
      <c r="A52" s="10" t="s">
        <v>92</v>
      </c>
      <c r="B52" s="26" t="s">
        <v>93</v>
      </c>
      <c r="C52" s="6">
        <v>0</v>
      </c>
      <c r="D52" s="6"/>
      <c r="E52" s="6"/>
    </row>
    <row r="53" spans="1:6" ht="15.75" thickBot="1" x14ac:dyDescent="0.3">
      <c r="A53" s="10" t="s">
        <v>94</v>
      </c>
      <c r="B53" s="26" t="s">
        <v>95</v>
      </c>
      <c r="C53" s="6">
        <v>0</v>
      </c>
      <c r="D53" s="6"/>
      <c r="E53" s="6"/>
    </row>
    <row r="54" spans="1:6" ht="15.75" thickBot="1" x14ac:dyDescent="0.3">
      <c r="A54" s="10" t="s">
        <v>96</v>
      </c>
      <c r="B54" s="26" t="s">
        <v>97</v>
      </c>
      <c r="C54" s="6">
        <v>0</v>
      </c>
      <c r="D54" s="6"/>
      <c r="E54" s="6"/>
    </row>
    <row r="55" spans="1:6" ht="15.75" thickBot="1" x14ac:dyDescent="0.3">
      <c r="A55" s="10" t="s">
        <v>98</v>
      </c>
      <c r="B55" s="26" t="s">
        <v>99</v>
      </c>
      <c r="C55" s="6">
        <v>0</v>
      </c>
      <c r="D55" s="6"/>
      <c r="E55" s="6"/>
    </row>
    <row r="56" spans="1:6" ht="15.75" thickBot="1" x14ac:dyDescent="0.3">
      <c r="A56" s="10" t="s">
        <v>100</v>
      </c>
      <c r="B56" s="26" t="s">
        <v>101</v>
      </c>
      <c r="C56" s="6">
        <v>0</v>
      </c>
      <c r="D56" s="6"/>
      <c r="E56" s="6"/>
    </row>
    <row r="57" spans="1:6" ht="24.75" thickBot="1" x14ac:dyDescent="0.3">
      <c r="A57" s="7" t="s">
        <v>102</v>
      </c>
      <c r="B57" s="27" t="s">
        <v>103</v>
      </c>
      <c r="C57" s="49">
        <v>3294</v>
      </c>
      <c r="D57" s="49">
        <v>2179</v>
      </c>
      <c r="E57" s="49">
        <v>1115</v>
      </c>
      <c r="F57" s="52"/>
    </row>
    <row r="58" spans="1:6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6" ht="48.75" thickBot="1" x14ac:dyDescent="0.3">
      <c r="A59" s="7" t="s">
        <v>106</v>
      </c>
      <c r="B59" s="23" t="s">
        <v>107</v>
      </c>
      <c r="C59" s="11">
        <v>0</v>
      </c>
      <c r="D59" s="11">
        <v>0</v>
      </c>
      <c r="E59" s="11">
        <v>0</v>
      </c>
    </row>
    <row r="60" spans="1:6" ht="15.75" thickBot="1" x14ac:dyDescent="0.3">
      <c r="A60" s="7" t="s">
        <v>108</v>
      </c>
      <c r="B60" s="23" t="s">
        <v>109</v>
      </c>
      <c r="C60" s="11">
        <v>0</v>
      </c>
      <c r="D60" s="11">
        <v>0</v>
      </c>
      <c r="E60" s="40">
        <v>0</v>
      </c>
    </row>
    <row r="61" spans="1:6" ht="24.75" thickBot="1" x14ac:dyDescent="0.3">
      <c r="A61" s="14" t="s">
        <v>110</v>
      </c>
      <c r="B61" s="24" t="s">
        <v>111</v>
      </c>
      <c r="C61" s="6">
        <v>0</v>
      </c>
      <c r="D61" s="6"/>
      <c r="E61" s="6"/>
    </row>
    <row r="62" spans="1:6" ht="24.75" thickBot="1" x14ac:dyDescent="0.3">
      <c r="A62" s="14" t="s">
        <v>112</v>
      </c>
      <c r="B62" s="24" t="s">
        <v>113</v>
      </c>
      <c r="C62" s="6">
        <v>0</v>
      </c>
      <c r="D62" s="6"/>
      <c r="E62" s="6"/>
    </row>
    <row r="63" spans="1:6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6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6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6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6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6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6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6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6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6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6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6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6" ht="24.75" thickBot="1" x14ac:dyDescent="0.3">
      <c r="A75" s="7" t="s">
        <v>138</v>
      </c>
      <c r="B75" s="23" t="s">
        <v>139</v>
      </c>
      <c r="C75" s="11">
        <v>154</v>
      </c>
      <c r="D75" s="11">
        <f>26+8+16+23+10+9+24</f>
        <v>116</v>
      </c>
      <c r="E75" s="11">
        <f>5+11+1+1+8+2+10</f>
        <v>38</v>
      </c>
      <c r="F75" s="54"/>
    </row>
    <row r="76" spans="1:6" ht="24.75" thickBot="1" x14ac:dyDescent="0.3">
      <c r="A76" s="10" t="s">
        <v>140</v>
      </c>
      <c r="B76" s="26" t="s">
        <v>141</v>
      </c>
      <c r="C76" s="6">
        <v>34</v>
      </c>
      <c r="D76" s="6">
        <f>23+8</f>
        <v>31</v>
      </c>
      <c r="E76" s="6">
        <f>1+2</f>
        <v>3</v>
      </c>
    </row>
    <row r="77" spans="1:6" ht="24.75" thickBot="1" x14ac:dyDescent="0.3">
      <c r="A77" s="7" t="s">
        <v>142</v>
      </c>
      <c r="B77" s="23" t="s">
        <v>143</v>
      </c>
      <c r="C77" s="11">
        <v>0</v>
      </c>
      <c r="D77" s="11"/>
      <c r="E77" s="11"/>
    </row>
    <row r="78" spans="1:6" ht="36.75" thickBot="1" x14ac:dyDescent="0.3">
      <c r="A78" s="10" t="s">
        <v>144</v>
      </c>
      <c r="B78" s="24" t="s">
        <v>145</v>
      </c>
      <c r="C78" s="6">
        <v>0</v>
      </c>
      <c r="D78" s="6"/>
      <c r="E78" s="6"/>
    </row>
    <row r="79" spans="1:6" ht="36.75" thickBot="1" x14ac:dyDescent="0.3">
      <c r="A79" s="7" t="s">
        <v>146</v>
      </c>
      <c r="B79" s="23" t="s">
        <v>147</v>
      </c>
      <c r="C79" s="49">
        <f>C80+C83</f>
        <v>29</v>
      </c>
      <c r="D79" s="49">
        <f t="shared" ref="D79:E79" si="4">D80+D83</f>
        <v>26</v>
      </c>
      <c r="E79" s="49">
        <f t="shared" si="4"/>
        <v>3</v>
      </c>
    </row>
    <row r="80" spans="1:6" ht="24.75" thickBot="1" x14ac:dyDescent="0.3">
      <c r="A80" s="8" t="s">
        <v>148</v>
      </c>
      <c r="B80" s="24" t="s">
        <v>149</v>
      </c>
      <c r="C80" s="6">
        <f>C81+C82</f>
        <v>29</v>
      </c>
      <c r="D80" s="6">
        <f t="shared" ref="D80:E80" si="5">D81+D82</f>
        <v>26</v>
      </c>
      <c r="E80" s="6">
        <f t="shared" si="5"/>
        <v>3</v>
      </c>
    </row>
    <row r="81" spans="1:8" ht="36.75" thickBot="1" x14ac:dyDescent="0.3">
      <c r="A81" s="8" t="s">
        <v>150</v>
      </c>
      <c r="B81" s="24" t="s">
        <v>151</v>
      </c>
      <c r="C81" s="6">
        <f t="shared" ref="C81" si="6">D81+E81</f>
        <v>0</v>
      </c>
      <c r="D81" s="6">
        <v>0</v>
      </c>
      <c r="E81" s="6">
        <v>0</v>
      </c>
    </row>
    <row r="82" spans="1:8" ht="36.75" thickBot="1" x14ac:dyDescent="0.3">
      <c r="A82" s="8" t="s">
        <v>152</v>
      </c>
      <c r="B82" s="24" t="s">
        <v>153</v>
      </c>
      <c r="C82" s="6">
        <f>D82+E82</f>
        <v>29</v>
      </c>
      <c r="D82" s="6">
        <f>18+8</f>
        <v>26</v>
      </c>
      <c r="E82" s="6">
        <f>3</f>
        <v>3</v>
      </c>
    </row>
    <row r="83" spans="1:8" ht="24.75" thickBot="1" x14ac:dyDescent="0.3">
      <c r="A83" s="8" t="s">
        <v>154</v>
      </c>
      <c r="B83" s="24" t="s">
        <v>155</v>
      </c>
      <c r="C83" s="6">
        <f>C84</f>
        <v>0</v>
      </c>
      <c r="D83" s="6">
        <f t="shared" ref="D83:E83" si="7">D84</f>
        <v>0</v>
      </c>
      <c r="E83" s="6">
        <f t="shared" si="7"/>
        <v>0</v>
      </c>
    </row>
    <row r="84" spans="1:8" ht="48.75" thickBot="1" x14ac:dyDescent="0.3">
      <c r="A84" s="15" t="s">
        <v>493</v>
      </c>
      <c r="B84" s="24" t="s">
        <v>156</v>
      </c>
      <c r="C84" s="6">
        <v>0</v>
      </c>
      <c r="D84" s="6">
        <v>0</v>
      </c>
      <c r="E84" s="6">
        <v>0</v>
      </c>
    </row>
    <row r="85" spans="1:8" ht="24.75" thickBot="1" x14ac:dyDescent="0.3">
      <c r="A85" s="7" t="s">
        <v>157</v>
      </c>
      <c r="B85" s="23" t="s">
        <v>158</v>
      </c>
      <c r="C85" s="11">
        <f>C86+C87</f>
        <v>1910</v>
      </c>
      <c r="D85" s="11">
        <f t="shared" ref="D85:E85" si="8">D86+D87</f>
        <v>1500</v>
      </c>
      <c r="E85" s="11">
        <f t="shared" si="8"/>
        <v>410</v>
      </c>
      <c r="G85">
        <f>C85</f>
        <v>1910</v>
      </c>
      <c r="H85">
        <f>C88+C91+C94+C97+C100+C103+C106</f>
        <v>1910</v>
      </c>
    </row>
    <row r="86" spans="1:8" ht="15.75" thickBot="1" x14ac:dyDescent="0.3">
      <c r="A86" s="12" t="s">
        <v>159</v>
      </c>
      <c r="B86" s="26" t="s">
        <v>13</v>
      </c>
      <c r="C86" s="6">
        <f>D86+E86</f>
        <v>494</v>
      </c>
      <c r="D86" s="6">
        <f>273+69</f>
        <v>342</v>
      </c>
      <c r="E86" s="6">
        <f>118+34</f>
        <v>152</v>
      </c>
      <c r="G86">
        <f>C86</f>
        <v>494</v>
      </c>
      <c r="H86">
        <f>C89+C92+C95+C98+C101+C104+C108</f>
        <v>494</v>
      </c>
    </row>
    <row r="87" spans="1:8" ht="24.75" thickBot="1" x14ac:dyDescent="0.3">
      <c r="A87" s="12" t="s">
        <v>160</v>
      </c>
      <c r="B87" s="26" t="s">
        <v>161</v>
      </c>
      <c r="C87" s="6">
        <v>1416</v>
      </c>
      <c r="D87" s="6">
        <f>686+93+194+125+7+19+34</f>
        <v>1158</v>
      </c>
      <c r="E87" s="6">
        <f>1+108+29+18+38+48+16</f>
        <v>258</v>
      </c>
    </row>
    <row r="88" spans="1:8" ht="15.75" thickBot="1" x14ac:dyDescent="0.3">
      <c r="A88" s="26" t="s">
        <v>162</v>
      </c>
      <c r="B88" s="62" t="s">
        <v>494</v>
      </c>
      <c r="C88" s="55">
        <v>1675</v>
      </c>
      <c r="D88" s="55">
        <v>1326</v>
      </c>
      <c r="E88" s="55">
        <v>349</v>
      </c>
    </row>
    <row r="89" spans="1:8" ht="15.75" thickBot="1" x14ac:dyDescent="0.3">
      <c r="A89" s="12" t="s">
        <v>164</v>
      </c>
      <c r="B89" s="26" t="s">
        <v>13</v>
      </c>
      <c r="C89" s="6">
        <v>385</v>
      </c>
      <c r="D89" s="6">
        <f>96+4+5+6+6+2+4+5+2+14+14+17+21+69</f>
        <v>265</v>
      </c>
      <c r="E89" s="6">
        <f>39+26+19+7+29</f>
        <v>120</v>
      </c>
    </row>
    <row r="90" spans="1:8" ht="24.75" thickBot="1" x14ac:dyDescent="0.3">
      <c r="A90" s="12" t="s">
        <v>165</v>
      </c>
      <c r="B90" s="26" t="s">
        <v>166</v>
      </c>
      <c r="C90" s="6">
        <v>1290</v>
      </c>
      <c r="D90" s="6">
        <f>686+6+7+35+9+5+55+105+6+13+36+2+13+7+4+8+13+17+34</f>
        <v>1061</v>
      </c>
      <c r="E90" s="6">
        <f>6+18+8+3+14+17+99+46+18</f>
        <v>229</v>
      </c>
    </row>
    <row r="91" spans="1:8" x14ac:dyDescent="0.25">
      <c r="A91" s="22" t="s">
        <v>167</v>
      </c>
      <c r="B91" s="63" t="s">
        <v>495</v>
      </c>
      <c r="C91" s="61">
        <v>101</v>
      </c>
      <c r="D91" s="61">
        <v>75</v>
      </c>
      <c r="E91" s="61">
        <v>26</v>
      </c>
    </row>
    <row r="92" spans="1:8" ht="15.75" thickBot="1" x14ac:dyDescent="0.3">
      <c r="A92" s="14" t="s">
        <v>168</v>
      </c>
      <c r="B92" s="26" t="s">
        <v>13</v>
      </c>
      <c r="C92" s="6">
        <v>18</v>
      </c>
      <c r="D92" s="6">
        <f>10+2</f>
        <v>12</v>
      </c>
      <c r="E92" s="6">
        <f>1+2+3</f>
        <v>6</v>
      </c>
    </row>
    <row r="93" spans="1:8" ht="24.75" thickBot="1" x14ac:dyDescent="0.3">
      <c r="A93" s="14" t="s">
        <v>169</v>
      </c>
      <c r="B93" s="26" t="s">
        <v>166</v>
      </c>
      <c r="C93" s="6">
        <v>83</v>
      </c>
      <c r="D93" s="6">
        <f>61+2</f>
        <v>63</v>
      </c>
      <c r="E93" s="6">
        <f>9+2+1+8</f>
        <v>20</v>
      </c>
    </row>
    <row r="94" spans="1:8" x14ac:dyDescent="0.25">
      <c r="A94" s="21" t="s">
        <v>170</v>
      </c>
      <c r="B94" s="64" t="s">
        <v>496</v>
      </c>
      <c r="C94" s="61">
        <f>5</f>
        <v>5</v>
      </c>
      <c r="D94" s="61"/>
      <c r="E94" s="61">
        <f>5</f>
        <v>5</v>
      </c>
    </row>
    <row r="95" spans="1:8" ht="15.75" thickBot="1" x14ac:dyDescent="0.3">
      <c r="A95" s="14" t="s">
        <v>171</v>
      </c>
      <c r="B95" s="26" t="s">
        <v>13</v>
      </c>
      <c r="C95" s="6">
        <f>5</f>
        <v>5</v>
      </c>
      <c r="D95" s="6"/>
      <c r="E95" s="6">
        <f>5</f>
        <v>5</v>
      </c>
    </row>
    <row r="96" spans="1:8" ht="24.75" thickBot="1" x14ac:dyDescent="0.3">
      <c r="A96" s="14" t="s">
        <v>172</v>
      </c>
      <c r="B96" s="26" t="s">
        <v>166</v>
      </c>
      <c r="C96" s="6"/>
      <c r="D96" s="6"/>
      <c r="E96" s="6"/>
    </row>
    <row r="97" spans="1:7" ht="24.75" thickBot="1" x14ac:dyDescent="0.3">
      <c r="A97" s="14" t="s">
        <v>170</v>
      </c>
      <c r="B97" s="65" t="s">
        <v>173</v>
      </c>
      <c r="C97" s="57">
        <v>58</v>
      </c>
      <c r="D97" s="57">
        <v>40</v>
      </c>
      <c r="E97" s="57">
        <v>18</v>
      </c>
    </row>
    <row r="98" spans="1:7" ht="15.75" thickBot="1" x14ac:dyDescent="0.3">
      <c r="A98" s="14" t="s">
        <v>174</v>
      </c>
      <c r="B98" s="26" t="s">
        <v>13</v>
      </c>
      <c r="C98" s="6">
        <v>41</v>
      </c>
      <c r="D98" s="6">
        <v>26</v>
      </c>
      <c r="E98" s="6">
        <f>9+6</f>
        <v>15</v>
      </c>
    </row>
    <row r="99" spans="1:7" ht="24.75" thickBot="1" x14ac:dyDescent="0.3">
      <c r="A99" s="14" t="s">
        <v>175</v>
      </c>
      <c r="B99" s="26" t="s">
        <v>166</v>
      </c>
      <c r="C99" s="6">
        <v>17</v>
      </c>
      <c r="D99" s="6">
        <v>14</v>
      </c>
      <c r="E99" s="6">
        <f>1+2</f>
        <v>3</v>
      </c>
    </row>
    <row r="100" spans="1:7" ht="15.75" thickBot="1" x14ac:dyDescent="0.3">
      <c r="A100" s="14" t="s">
        <v>176</v>
      </c>
      <c r="B100" s="65" t="s">
        <v>177</v>
      </c>
      <c r="C100" s="57">
        <v>15</v>
      </c>
      <c r="D100" s="57">
        <v>11</v>
      </c>
      <c r="E100" s="57">
        <v>4</v>
      </c>
    </row>
    <row r="101" spans="1:7" ht="15.75" thickBot="1" x14ac:dyDescent="0.3">
      <c r="A101" s="14" t="s">
        <v>178</v>
      </c>
      <c r="B101" s="26" t="s">
        <v>13</v>
      </c>
      <c r="C101" s="6">
        <v>12</v>
      </c>
      <c r="D101" s="6">
        <f>2+5+4</f>
        <v>11</v>
      </c>
      <c r="E101" s="6">
        <f>1</f>
        <v>1</v>
      </c>
    </row>
    <row r="102" spans="1:7" ht="24.75" thickBot="1" x14ac:dyDescent="0.3">
      <c r="A102" s="14" t="s">
        <v>179</v>
      </c>
      <c r="B102" s="26" t="s">
        <v>166</v>
      </c>
      <c r="C102" s="6">
        <v>3</v>
      </c>
      <c r="D102" s="6"/>
      <c r="E102" s="6">
        <f>1+1+1</f>
        <v>3</v>
      </c>
    </row>
    <row r="103" spans="1:7" x14ac:dyDescent="0.25">
      <c r="A103" s="21" t="s">
        <v>180</v>
      </c>
      <c r="B103" s="64" t="s">
        <v>497</v>
      </c>
      <c r="C103" s="61">
        <v>15</v>
      </c>
      <c r="D103" s="61">
        <v>13</v>
      </c>
      <c r="E103" s="61">
        <v>2</v>
      </c>
    </row>
    <row r="104" spans="1:7" ht="15.75" thickBot="1" x14ac:dyDescent="0.3">
      <c r="A104" s="14" t="s">
        <v>181</v>
      </c>
      <c r="B104" s="26" t="s">
        <v>13</v>
      </c>
      <c r="C104" s="6">
        <v>13</v>
      </c>
      <c r="D104" s="6">
        <f>6+7</f>
        <v>13</v>
      </c>
      <c r="E104" s="6"/>
    </row>
    <row r="105" spans="1:7" ht="24.75" thickBot="1" x14ac:dyDescent="0.3">
      <c r="A105" s="14" t="s">
        <v>182</v>
      </c>
      <c r="B105" s="26" t="s">
        <v>166</v>
      </c>
      <c r="C105" s="6">
        <v>2</v>
      </c>
      <c r="D105" s="6"/>
      <c r="E105" s="6">
        <f>2</f>
        <v>2</v>
      </c>
    </row>
    <row r="106" spans="1:7" x14ac:dyDescent="0.25">
      <c r="A106" s="78" t="s">
        <v>183</v>
      </c>
      <c r="B106" s="64" t="s">
        <v>184</v>
      </c>
      <c r="C106" s="83">
        <v>41</v>
      </c>
      <c r="D106" s="83">
        <v>35</v>
      </c>
      <c r="E106" s="83">
        <v>6</v>
      </c>
    </row>
    <row r="107" spans="1:7" ht="15.75" thickBot="1" x14ac:dyDescent="0.3">
      <c r="A107" s="79"/>
      <c r="B107" s="65" t="s">
        <v>163</v>
      </c>
      <c r="C107" s="84"/>
      <c r="D107" s="84"/>
      <c r="E107" s="84"/>
    </row>
    <row r="108" spans="1:7" ht="15.75" thickBot="1" x14ac:dyDescent="0.3">
      <c r="A108" s="14" t="s">
        <v>185</v>
      </c>
      <c r="B108" s="26" t="s">
        <v>13</v>
      </c>
      <c r="C108" s="6">
        <v>20</v>
      </c>
      <c r="D108" s="6">
        <v>15</v>
      </c>
      <c r="E108" s="6">
        <v>5</v>
      </c>
    </row>
    <row r="109" spans="1:7" ht="24.75" thickBot="1" x14ac:dyDescent="0.3">
      <c r="A109" s="14" t="s">
        <v>186</v>
      </c>
      <c r="B109" s="26" t="s">
        <v>166</v>
      </c>
      <c r="C109" s="6">
        <v>21</v>
      </c>
      <c r="D109" s="6">
        <v>20</v>
      </c>
      <c r="E109" s="6">
        <f>1</f>
        <v>1</v>
      </c>
    </row>
    <row r="110" spans="1:7" ht="15.75" thickBot="1" x14ac:dyDescent="0.3">
      <c r="A110" s="14" t="s">
        <v>187</v>
      </c>
      <c r="B110" s="24" t="s">
        <v>188</v>
      </c>
      <c r="C110" s="16">
        <v>11</v>
      </c>
      <c r="D110" s="16">
        <v>11</v>
      </c>
      <c r="E110" s="16">
        <v>0</v>
      </c>
    </row>
    <row r="111" spans="1:7" ht="24.75" thickBot="1" x14ac:dyDescent="0.3">
      <c r="A111" s="14" t="s">
        <v>189</v>
      </c>
      <c r="B111" s="24" t="s">
        <v>190</v>
      </c>
      <c r="C111" s="51">
        <v>1453</v>
      </c>
      <c r="D111" s="51">
        <f>799+9+15+1+1+13+13+13+35+9+105+11+20+15+7+23+39+14+69+30</f>
        <v>1241</v>
      </c>
      <c r="E111" s="51">
        <f>24+13+4+3+8+10+19+6+6+44+25+34+4+12</f>
        <v>212</v>
      </c>
      <c r="F111" s="54"/>
      <c r="G111" s="59">
        <v>1910</v>
      </c>
    </row>
    <row r="112" spans="1:7" ht="24.75" thickBot="1" x14ac:dyDescent="0.3">
      <c r="A112" s="14" t="s">
        <v>191</v>
      </c>
      <c r="B112" s="24" t="s">
        <v>192</v>
      </c>
      <c r="C112" s="51">
        <v>446</v>
      </c>
      <c r="D112" s="51">
        <f>14+1+95+66+15+38+19</f>
        <v>248</v>
      </c>
      <c r="E112" s="51">
        <f>95+55+48</f>
        <v>198</v>
      </c>
      <c r="F112" s="54"/>
    </row>
    <row r="113" spans="1:8" ht="24.75" thickBot="1" x14ac:dyDescent="0.3">
      <c r="A113" s="14" t="s">
        <v>193</v>
      </c>
      <c r="B113" s="24" t="s">
        <v>194</v>
      </c>
      <c r="C113" s="16"/>
      <c r="D113" s="16"/>
      <c r="E113" s="16"/>
      <c r="F113" s="54"/>
    </row>
    <row r="114" spans="1:8" ht="36.75" thickBot="1" x14ac:dyDescent="0.3">
      <c r="A114" s="7" t="s">
        <v>195</v>
      </c>
      <c r="B114" s="23" t="s">
        <v>196</v>
      </c>
      <c r="C114" s="11">
        <f>C115+C116</f>
        <v>100</v>
      </c>
      <c r="D114" s="11">
        <f t="shared" ref="D114:E114" si="9">D115+D116</f>
        <v>69</v>
      </c>
      <c r="E114" s="11">
        <f t="shared" si="9"/>
        <v>33</v>
      </c>
    </row>
    <row r="115" spans="1:8" ht="15.75" thickBot="1" x14ac:dyDescent="0.3">
      <c r="A115" s="12" t="s">
        <v>197</v>
      </c>
      <c r="B115" s="26" t="s">
        <v>198</v>
      </c>
      <c r="C115" s="6">
        <v>56</v>
      </c>
      <c r="D115" s="6">
        <v>35</v>
      </c>
      <c r="E115" s="6">
        <v>21</v>
      </c>
    </row>
    <row r="116" spans="1:8" ht="24.75" thickBot="1" x14ac:dyDescent="0.3">
      <c r="A116" s="12" t="s">
        <v>199</v>
      </c>
      <c r="B116" s="26" t="s">
        <v>200</v>
      </c>
      <c r="C116" s="6">
        <v>44</v>
      </c>
      <c r="D116" s="6">
        <v>34</v>
      </c>
      <c r="E116" s="6">
        <v>12</v>
      </c>
    </row>
    <row r="117" spans="1:8" ht="15.75" thickBot="1" x14ac:dyDescent="0.3">
      <c r="A117" s="7" t="s">
        <v>201</v>
      </c>
      <c r="B117" s="23" t="s">
        <v>202</v>
      </c>
      <c r="C117" s="11"/>
      <c r="D117" s="11"/>
      <c r="E117" s="11"/>
      <c r="F117" s="54"/>
    </row>
    <row r="118" spans="1:8" ht="24.75" thickBot="1" x14ac:dyDescent="0.3">
      <c r="A118" s="12" t="s">
        <v>203</v>
      </c>
      <c r="B118" s="26" t="s">
        <v>204</v>
      </c>
      <c r="C118" s="6"/>
      <c r="D118" s="6"/>
      <c r="E118" s="6"/>
      <c r="F118" s="54"/>
    </row>
    <row r="119" spans="1:8" ht="15.75" thickBot="1" x14ac:dyDescent="0.3">
      <c r="A119" s="12" t="s">
        <v>205</v>
      </c>
      <c r="B119" s="26" t="s">
        <v>206</v>
      </c>
      <c r="C119" s="6"/>
      <c r="D119" s="6"/>
      <c r="E119" s="6"/>
      <c r="F119" s="54"/>
    </row>
    <row r="120" spans="1:8" ht="24.75" thickBot="1" x14ac:dyDescent="0.3">
      <c r="A120" s="7" t="s">
        <v>207</v>
      </c>
      <c r="B120" s="23" t="s">
        <v>208</v>
      </c>
      <c r="C120" s="11"/>
      <c r="D120" s="11"/>
      <c r="E120" s="11"/>
      <c r="F120" s="54"/>
    </row>
    <row r="121" spans="1:8" ht="24.75" thickBot="1" x14ac:dyDescent="0.3">
      <c r="A121" s="7" t="s">
        <v>209</v>
      </c>
      <c r="B121" s="23" t="s">
        <v>210</v>
      </c>
      <c r="C121" s="11"/>
      <c r="D121" s="11"/>
      <c r="E121" s="11"/>
      <c r="F121" s="54"/>
    </row>
    <row r="122" spans="1:8" ht="24.75" thickBot="1" x14ac:dyDescent="0.3">
      <c r="A122" s="7" t="s">
        <v>211</v>
      </c>
      <c r="B122" s="23" t="s">
        <v>212</v>
      </c>
      <c r="C122" s="11"/>
      <c r="D122" s="11"/>
      <c r="E122" s="11"/>
      <c r="F122" s="54"/>
    </row>
    <row r="123" spans="1:8" ht="24.75" thickBot="1" x14ac:dyDescent="0.3">
      <c r="A123" s="7" t="s">
        <v>213</v>
      </c>
      <c r="B123" s="23" t="s">
        <v>214</v>
      </c>
      <c r="C123" s="11"/>
      <c r="D123" s="11"/>
      <c r="E123" s="11"/>
      <c r="F123" s="54"/>
    </row>
    <row r="124" spans="1:8" ht="36.75" thickBot="1" x14ac:dyDescent="0.3">
      <c r="A124" s="7" t="s">
        <v>215</v>
      </c>
      <c r="B124" s="23" t="s">
        <v>216</v>
      </c>
      <c r="C124" s="11"/>
      <c r="D124" s="11"/>
      <c r="E124" s="11"/>
      <c r="F124" s="54"/>
    </row>
    <row r="125" spans="1:8" ht="36.75" thickBot="1" x14ac:dyDescent="0.3">
      <c r="A125" s="7" t="s">
        <v>217</v>
      </c>
      <c r="B125" s="23" t="s">
        <v>218</v>
      </c>
      <c r="C125" s="11">
        <f>D125+E125</f>
        <v>144</v>
      </c>
      <c r="D125" s="11">
        <f>D126+D127</f>
        <v>106</v>
      </c>
      <c r="E125" s="11">
        <f>E126+E127</f>
        <v>38</v>
      </c>
      <c r="G125">
        <f>C126+C127</f>
        <v>144</v>
      </c>
      <c r="H125">
        <f>C131+C132</f>
        <v>144</v>
      </c>
    </row>
    <row r="126" spans="1:8" ht="15.75" thickBot="1" x14ac:dyDescent="0.3">
      <c r="A126" s="12" t="s">
        <v>219</v>
      </c>
      <c r="B126" s="26" t="s">
        <v>198</v>
      </c>
      <c r="C126" s="6">
        <v>105</v>
      </c>
      <c r="D126" s="6">
        <f>9+6+12+2+14+6+11+17</f>
        <v>77</v>
      </c>
      <c r="E126" s="6">
        <f>7+1+5+3+2+10</f>
        <v>28</v>
      </c>
    </row>
    <row r="127" spans="1:8" ht="24.75" thickBot="1" x14ac:dyDescent="0.3">
      <c r="A127" s="12" t="s">
        <v>220</v>
      </c>
      <c r="B127" s="26" t="s">
        <v>221</v>
      </c>
      <c r="C127" s="6">
        <v>39</v>
      </c>
      <c r="D127" s="6">
        <f>2+1+3+4+4+1+1+1+9+3</f>
        <v>29</v>
      </c>
      <c r="E127" s="6">
        <f>4+4+2</f>
        <v>10</v>
      </c>
    </row>
    <row r="128" spans="1:8" ht="15.75" thickBot="1" x14ac:dyDescent="0.3">
      <c r="A128" s="12"/>
      <c r="B128" s="31" t="s">
        <v>222</v>
      </c>
      <c r="C128" s="6"/>
      <c r="D128" s="6"/>
      <c r="E128" s="6"/>
    </row>
    <row r="129" spans="1:10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10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10" ht="15.75" thickBot="1" x14ac:dyDescent="0.3">
      <c r="A131" s="12" t="s">
        <v>227</v>
      </c>
      <c r="B131" s="26" t="s">
        <v>228</v>
      </c>
      <c r="C131" s="6">
        <v>23</v>
      </c>
      <c r="D131" s="6">
        <v>7</v>
      </c>
      <c r="E131" s="6">
        <v>16</v>
      </c>
    </row>
    <row r="132" spans="1:10" ht="24.75" thickBot="1" x14ac:dyDescent="0.3">
      <c r="A132" s="10" t="s">
        <v>229</v>
      </c>
      <c r="B132" s="26" t="s">
        <v>230</v>
      </c>
      <c r="C132" s="6">
        <f>D132+E132</f>
        <v>121</v>
      </c>
      <c r="D132" s="6">
        <f>D134+D136</f>
        <v>99</v>
      </c>
      <c r="E132" s="6">
        <f>E134+E136</f>
        <v>22</v>
      </c>
    </row>
    <row r="133" spans="1:10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10" ht="15.75" thickBot="1" x14ac:dyDescent="0.3">
      <c r="A134" s="12" t="s">
        <v>233</v>
      </c>
      <c r="B134" s="26" t="s">
        <v>234</v>
      </c>
      <c r="C134" s="6">
        <v>52</v>
      </c>
      <c r="D134" s="6">
        <v>41</v>
      </c>
      <c r="E134" s="6">
        <v>11</v>
      </c>
    </row>
    <row r="135" spans="1:10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10" ht="15.75" thickBot="1" x14ac:dyDescent="0.3">
      <c r="A136" s="12" t="s">
        <v>237</v>
      </c>
      <c r="B136" s="26" t="s">
        <v>238</v>
      </c>
      <c r="C136" s="6">
        <v>69</v>
      </c>
      <c r="D136" s="6">
        <v>58</v>
      </c>
      <c r="E136" s="6">
        <v>11</v>
      </c>
    </row>
    <row r="137" spans="1:10" ht="24.75" thickBot="1" x14ac:dyDescent="0.3">
      <c r="A137" s="7" t="s">
        <v>239</v>
      </c>
      <c r="B137" s="23" t="s">
        <v>240</v>
      </c>
      <c r="C137" s="11">
        <f>D137+E137</f>
        <v>102</v>
      </c>
      <c r="D137" s="11">
        <f>D139+D141</f>
        <v>82</v>
      </c>
      <c r="E137" s="11">
        <f>E139+E141</f>
        <v>20</v>
      </c>
    </row>
    <row r="138" spans="1:10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10" ht="15.75" thickBot="1" x14ac:dyDescent="0.3">
      <c r="A139" s="12" t="s">
        <v>243</v>
      </c>
      <c r="B139" s="26" t="s">
        <v>244</v>
      </c>
      <c r="C139" s="6">
        <v>43</v>
      </c>
      <c r="D139" s="6">
        <f>3+1+6+6+5+2+9</f>
        <v>32</v>
      </c>
      <c r="E139" s="6">
        <f>2+3+1+1+4</f>
        <v>11</v>
      </c>
    </row>
    <row r="140" spans="1:10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10" ht="15.75" thickBot="1" x14ac:dyDescent="0.3">
      <c r="A141" s="12" t="s">
        <v>247</v>
      </c>
      <c r="B141" s="26" t="s">
        <v>248</v>
      </c>
      <c r="C141" s="6">
        <v>59</v>
      </c>
      <c r="D141" s="6">
        <v>50</v>
      </c>
      <c r="E141" s="6">
        <v>9</v>
      </c>
    </row>
    <row r="142" spans="1:10" ht="36.75" thickBot="1" x14ac:dyDescent="0.3">
      <c r="A142" s="7" t="s">
        <v>249</v>
      </c>
      <c r="B142" s="23" t="s">
        <v>250</v>
      </c>
      <c r="C142" s="11">
        <f>D142+E142</f>
        <v>7645</v>
      </c>
      <c r="D142" s="11">
        <f>D143+D144</f>
        <v>6275</v>
      </c>
      <c r="E142" s="11">
        <f>E143+E144</f>
        <v>1370</v>
      </c>
      <c r="G142">
        <f>C142</f>
        <v>7645</v>
      </c>
      <c r="H142">
        <f>C147+C149</f>
        <v>7645</v>
      </c>
      <c r="J142">
        <v>5631</v>
      </c>
    </row>
    <row r="143" spans="1:10" ht="15.75" thickBot="1" x14ac:dyDescent="0.3">
      <c r="A143" s="12" t="s">
        <v>251</v>
      </c>
      <c r="B143" s="26" t="s">
        <v>198</v>
      </c>
      <c r="C143" s="6">
        <v>4625</v>
      </c>
      <c r="D143" s="6">
        <f>185+730+930+460+810+10+303+161+100+60</f>
        <v>3749</v>
      </c>
      <c r="E143" s="6">
        <v>876</v>
      </c>
    </row>
    <row r="144" spans="1:10" ht="24.75" thickBot="1" x14ac:dyDescent="0.3">
      <c r="A144" s="12" t="s">
        <v>252</v>
      </c>
      <c r="B144" s="26" t="s">
        <v>253</v>
      </c>
      <c r="C144" s="6">
        <v>3020</v>
      </c>
      <c r="D144" s="6">
        <f>42+100+150+506+456+160+262+850</f>
        <v>2526</v>
      </c>
      <c r="E144" s="6">
        <f>21+160+213+100</f>
        <v>494</v>
      </c>
    </row>
    <row r="145" spans="1:9" ht="24.75" thickBot="1" x14ac:dyDescent="0.3">
      <c r="A145" s="12"/>
      <c r="B145" s="31" t="s">
        <v>254</v>
      </c>
      <c r="C145" s="6"/>
      <c r="D145" s="6"/>
      <c r="E145" s="6"/>
    </row>
    <row r="146" spans="1:9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9" ht="15.75" thickBot="1" x14ac:dyDescent="0.3">
      <c r="A147" s="12" t="s">
        <v>257</v>
      </c>
      <c r="B147" s="26" t="s">
        <v>258</v>
      </c>
      <c r="C147" s="6">
        <v>999</v>
      </c>
      <c r="D147" s="6">
        <f>185+41+226+110+10+161+25</f>
        <v>758</v>
      </c>
      <c r="E147" s="6">
        <v>241</v>
      </c>
    </row>
    <row r="148" spans="1:9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9" ht="15.75" thickBot="1" x14ac:dyDescent="0.3">
      <c r="A149" s="12" t="s">
        <v>261</v>
      </c>
      <c r="B149" s="26" t="s">
        <v>262</v>
      </c>
      <c r="C149" s="6">
        <v>6646</v>
      </c>
      <c r="D149" s="6">
        <f>750+100+150+1191+810+460+456+412+303+750+135</f>
        <v>5517</v>
      </c>
      <c r="E149" s="6">
        <v>1129</v>
      </c>
      <c r="F149" s="52"/>
      <c r="G149" s="52"/>
      <c r="H149" s="52"/>
    </row>
    <row r="150" spans="1:9" ht="24.75" thickBot="1" x14ac:dyDescent="0.3">
      <c r="A150" s="7" t="s">
        <v>263</v>
      </c>
      <c r="B150" s="23" t="s">
        <v>264</v>
      </c>
      <c r="C150" s="11">
        <f>D150+E150</f>
        <v>5857</v>
      </c>
      <c r="D150" s="11">
        <f>D152+D154</f>
        <v>4687</v>
      </c>
      <c r="E150" s="11">
        <f>E152+E154</f>
        <v>1170</v>
      </c>
    </row>
    <row r="151" spans="1:9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9" ht="15.75" thickBot="1" x14ac:dyDescent="0.3">
      <c r="A152" s="12" t="s">
        <v>266</v>
      </c>
      <c r="B152" s="26" t="s">
        <v>244</v>
      </c>
      <c r="C152" s="6">
        <v>885</v>
      </c>
      <c r="D152" s="6">
        <f>65+22+245+81+15+216</f>
        <v>644</v>
      </c>
      <c r="E152" s="6">
        <v>241</v>
      </c>
    </row>
    <row r="153" spans="1:9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9" ht="15.75" thickBot="1" x14ac:dyDescent="0.3">
      <c r="A154" s="12" t="s">
        <v>268</v>
      </c>
      <c r="B154" s="26" t="s">
        <v>248</v>
      </c>
      <c r="C154" s="6">
        <v>4972</v>
      </c>
      <c r="D154" s="6">
        <v>4043</v>
      </c>
      <c r="E154" s="6">
        <v>929</v>
      </c>
    </row>
    <row r="155" spans="1:9" ht="36.75" thickBot="1" x14ac:dyDescent="0.3">
      <c r="A155" s="7" t="s">
        <v>269</v>
      </c>
      <c r="B155" s="23" t="s">
        <v>270</v>
      </c>
      <c r="C155" s="11">
        <v>101</v>
      </c>
      <c r="D155" s="11">
        <v>67</v>
      </c>
      <c r="E155" s="11">
        <v>34</v>
      </c>
      <c r="I155">
        <v>78</v>
      </c>
    </row>
    <row r="156" spans="1:9" ht="15.75" thickBot="1" x14ac:dyDescent="0.3">
      <c r="A156" s="14" t="s">
        <v>271</v>
      </c>
      <c r="B156" s="24" t="s">
        <v>198</v>
      </c>
      <c r="C156" s="6">
        <v>57</v>
      </c>
      <c r="D156" s="6">
        <v>35</v>
      </c>
      <c r="E156" s="6">
        <f>4+5+7+6</f>
        <v>22</v>
      </c>
    </row>
    <row r="157" spans="1:9" ht="24.75" thickBot="1" x14ac:dyDescent="0.3">
      <c r="A157" s="14" t="s">
        <v>272</v>
      </c>
      <c r="B157" s="24" t="s">
        <v>253</v>
      </c>
      <c r="C157" s="6">
        <v>45</v>
      </c>
      <c r="D157" s="6">
        <v>33</v>
      </c>
      <c r="E157" s="6">
        <v>12</v>
      </c>
    </row>
    <row r="158" spans="1:9" ht="15.75" thickBot="1" x14ac:dyDescent="0.3">
      <c r="A158" s="14" t="s">
        <v>273</v>
      </c>
      <c r="B158" s="24" t="s">
        <v>274</v>
      </c>
      <c r="C158" s="16">
        <v>75</v>
      </c>
      <c r="D158" s="16">
        <v>47</v>
      </c>
      <c r="E158" s="16">
        <v>28</v>
      </c>
    </row>
    <row r="159" spans="1:9" ht="15.75" thickBot="1" x14ac:dyDescent="0.3">
      <c r="A159" s="14" t="s">
        <v>275</v>
      </c>
      <c r="B159" s="24" t="s">
        <v>276</v>
      </c>
      <c r="C159" s="16">
        <v>28</v>
      </c>
      <c r="D159" s="16">
        <v>20</v>
      </c>
      <c r="E159" s="16">
        <v>8</v>
      </c>
    </row>
    <row r="160" spans="1:9" ht="15.75" thickBot="1" x14ac:dyDescent="0.3">
      <c r="A160" s="14" t="s">
        <v>277</v>
      </c>
      <c r="B160" s="24" t="s">
        <v>278</v>
      </c>
      <c r="C160" s="16"/>
      <c r="D160" s="16"/>
      <c r="E160" s="16"/>
    </row>
    <row r="161" spans="1:5" ht="15.75" thickBot="1" x14ac:dyDescent="0.3">
      <c r="A161" s="14"/>
      <c r="B161" s="30" t="s">
        <v>279</v>
      </c>
      <c r="C161" s="6"/>
      <c r="D161" s="6"/>
      <c r="E161" s="6"/>
    </row>
    <row r="162" spans="1:5" ht="15.75" thickBot="1" x14ac:dyDescent="0.3">
      <c r="A162" s="14" t="s">
        <v>280</v>
      </c>
      <c r="B162" s="24" t="s">
        <v>281</v>
      </c>
      <c r="C162" s="6">
        <v>79</v>
      </c>
      <c r="D162" s="6">
        <v>51</v>
      </c>
      <c r="E162" s="6">
        <v>28</v>
      </c>
    </row>
    <row r="163" spans="1:5" ht="15.75" thickBot="1" x14ac:dyDescent="0.3">
      <c r="A163" s="14" t="s">
        <v>282</v>
      </c>
      <c r="B163" s="24" t="s">
        <v>283</v>
      </c>
      <c r="C163" s="6">
        <v>22</v>
      </c>
      <c r="D163" s="6">
        <v>16</v>
      </c>
      <c r="E163" s="6">
        <v>6</v>
      </c>
    </row>
    <row r="164" spans="1:5" ht="24.75" thickBot="1" x14ac:dyDescent="0.3">
      <c r="A164" s="7" t="s">
        <v>284</v>
      </c>
      <c r="B164" s="23" t="s">
        <v>285</v>
      </c>
      <c r="C164" s="11">
        <v>93</v>
      </c>
      <c r="D164" s="11">
        <v>53</v>
      </c>
      <c r="E164" s="11">
        <v>40</v>
      </c>
    </row>
    <row r="165" spans="1:5" ht="24.75" thickBot="1" x14ac:dyDescent="0.3">
      <c r="A165" s="12" t="s">
        <v>286</v>
      </c>
      <c r="B165" s="26" t="s">
        <v>287</v>
      </c>
      <c r="C165" s="6">
        <v>17</v>
      </c>
      <c r="D165" s="6">
        <v>10</v>
      </c>
      <c r="E165" s="6">
        <v>7</v>
      </c>
    </row>
    <row r="166" spans="1:5" ht="24.75" thickBot="1" x14ac:dyDescent="0.3">
      <c r="A166" s="7" t="s">
        <v>288</v>
      </c>
      <c r="B166" s="23" t="s">
        <v>289</v>
      </c>
      <c r="C166" s="11">
        <v>13</v>
      </c>
      <c r="D166" s="11">
        <f>1+2+1+1+1+1+1+1+1</f>
        <v>10</v>
      </c>
      <c r="E166" s="11">
        <f>1+1+1</f>
        <v>3</v>
      </c>
    </row>
    <row r="167" spans="1:5" ht="24.75" thickBot="1" x14ac:dyDescent="0.3">
      <c r="A167" s="12" t="s">
        <v>291</v>
      </c>
      <c r="B167" s="26" t="s">
        <v>292</v>
      </c>
      <c r="C167" s="6">
        <v>11</v>
      </c>
      <c r="D167" s="6">
        <f>1+1+1+1+1+1+1+1</f>
        <v>8</v>
      </c>
      <c r="E167" s="6">
        <f>1+1+1</f>
        <v>3</v>
      </c>
    </row>
    <row r="168" spans="1:5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5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5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5" ht="24.75" thickBot="1" x14ac:dyDescent="0.3">
      <c r="A171" s="12" t="s">
        <v>299</v>
      </c>
      <c r="B171" s="26" t="s">
        <v>300</v>
      </c>
      <c r="C171" s="6">
        <v>0</v>
      </c>
      <c r="D171" s="6"/>
      <c r="E171" s="6"/>
    </row>
    <row r="172" spans="1:5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5" ht="24.75" thickBot="1" x14ac:dyDescent="0.3">
      <c r="A173" s="14" t="s">
        <v>303</v>
      </c>
      <c r="B173" s="24" t="s">
        <v>304</v>
      </c>
      <c r="C173" s="17">
        <v>0</v>
      </c>
      <c r="D173" s="17"/>
      <c r="E173" s="17"/>
    </row>
    <row r="174" spans="1:5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5" ht="36.75" thickBot="1" x14ac:dyDescent="0.3">
      <c r="A175" s="7" t="s">
        <v>307</v>
      </c>
      <c r="B175" s="23" t="s">
        <v>308</v>
      </c>
      <c r="C175" s="11">
        <v>0</v>
      </c>
      <c r="D175" s="11"/>
      <c r="E175" s="11"/>
    </row>
    <row r="176" spans="1:5" ht="36.75" thickBot="1" x14ac:dyDescent="0.3">
      <c r="A176" s="12" t="s">
        <v>309</v>
      </c>
      <c r="B176" s="26" t="s">
        <v>310</v>
      </c>
      <c r="C176" s="6">
        <v>0</v>
      </c>
      <c r="D176" s="6"/>
      <c r="E176" s="6"/>
    </row>
    <row r="177" spans="1:6" ht="48.75" thickBot="1" x14ac:dyDescent="0.3">
      <c r="A177" s="7" t="s">
        <v>311</v>
      </c>
      <c r="B177" s="23" t="s">
        <v>312</v>
      </c>
      <c r="C177" s="11"/>
      <c r="D177" s="11"/>
      <c r="E177" s="11"/>
    </row>
    <row r="178" spans="1:6" ht="36.75" thickBot="1" x14ac:dyDescent="0.3">
      <c r="A178" s="7" t="s">
        <v>313</v>
      </c>
      <c r="B178" s="23" t="s">
        <v>314</v>
      </c>
      <c r="C178" s="11"/>
      <c r="D178" s="11"/>
      <c r="E178" s="11"/>
    </row>
    <row r="179" spans="1:6" ht="36.75" thickBot="1" x14ac:dyDescent="0.3">
      <c r="A179" s="12" t="s">
        <v>315</v>
      </c>
      <c r="B179" s="26" t="s">
        <v>316</v>
      </c>
      <c r="C179" s="6"/>
      <c r="D179" s="6"/>
      <c r="E179" s="6"/>
    </row>
    <row r="180" spans="1:6" ht="24.75" thickBot="1" x14ac:dyDescent="0.3">
      <c r="A180" s="7" t="s">
        <v>317</v>
      </c>
      <c r="B180" s="23" t="s">
        <v>318</v>
      </c>
      <c r="C180" s="11">
        <v>8</v>
      </c>
      <c r="D180" s="11" t="s">
        <v>290</v>
      </c>
      <c r="E180" s="11" t="s">
        <v>290</v>
      </c>
      <c r="F180" s="54"/>
    </row>
    <row r="181" spans="1:6" ht="15.75" thickBot="1" x14ac:dyDescent="0.3">
      <c r="A181" s="12" t="s">
        <v>319</v>
      </c>
      <c r="B181" s="26" t="s">
        <v>320</v>
      </c>
      <c r="C181" s="6">
        <v>8</v>
      </c>
      <c r="D181" s="6" t="s">
        <v>290</v>
      </c>
      <c r="E181" s="6" t="s">
        <v>290</v>
      </c>
      <c r="F181" s="54"/>
    </row>
    <row r="182" spans="1:6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  <c r="F182" s="54"/>
    </row>
    <row r="183" spans="1:6" ht="24.75" thickBot="1" x14ac:dyDescent="0.3">
      <c r="A183" s="18" t="s">
        <v>323</v>
      </c>
      <c r="B183" s="23" t="s">
        <v>324</v>
      </c>
      <c r="C183" s="11">
        <v>8</v>
      </c>
      <c r="D183" s="11">
        <v>5</v>
      </c>
      <c r="E183" s="11">
        <v>3</v>
      </c>
      <c r="F183" s="54"/>
    </row>
    <row r="184" spans="1:6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  <c r="F184" s="54"/>
    </row>
    <row r="185" spans="1:6" ht="36.75" thickBot="1" x14ac:dyDescent="0.3">
      <c r="A185" s="18" t="s">
        <v>327</v>
      </c>
      <c r="B185" s="23" t="s">
        <v>328</v>
      </c>
      <c r="C185" s="11">
        <f>SUM(C186:C198)+C215</f>
        <v>66</v>
      </c>
      <c r="D185" s="11">
        <f>SUM(D186:D198)+D215</f>
        <v>34</v>
      </c>
      <c r="E185" s="11">
        <f>SUM(E186:E198)+E215</f>
        <v>32</v>
      </c>
      <c r="F185" s="54"/>
    </row>
    <row r="186" spans="1:6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6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6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6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6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6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6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>
        <v>4</v>
      </c>
      <c r="D194" s="6">
        <v>3</v>
      </c>
      <c r="E194" s="6">
        <v>1</v>
      </c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>
        <v>2</v>
      </c>
      <c r="D196" s="6">
        <v>2</v>
      </c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56</v>
      </c>
      <c r="D198" s="6">
        <f t="shared" ref="D198:E198" si="10">SUM(D199:D209)</f>
        <v>26</v>
      </c>
      <c r="E198" s="6">
        <f t="shared" si="10"/>
        <v>30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>
        <v>10</v>
      </c>
      <c r="D200" s="6">
        <v>0</v>
      </c>
      <c r="E200" s="6">
        <v>10</v>
      </c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>
        <v>1</v>
      </c>
      <c r="D204" s="6">
        <v>1</v>
      </c>
      <c r="E204" s="6"/>
    </row>
    <row r="205" spans="1:5" ht="24.75" thickBot="1" x14ac:dyDescent="0.3">
      <c r="A205" s="12" t="s">
        <v>367</v>
      </c>
      <c r="B205" s="26" t="s">
        <v>368</v>
      </c>
      <c r="C205" s="6">
        <v>17</v>
      </c>
      <c r="D205" s="6">
        <v>9</v>
      </c>
      <c r="E205" s="6">
        <v>8</v>
      </c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>
        <v>28</v>
      </c>
      <c r="D209" s="6">
        <v>16</v>
      </c>
      <c r="E209" s="6">
        <v>12</v>
      </c>
    </row>
    <row r="210" spans="1:6" ht="36.75" thickBot="1" x14ac:dyDescent="0.3">
      <c r="A210" s="12" t="s">
        <v>377</v>
      </c>
      <c r="B210" s="26" t="s">
        <v>378</v>
      </c>
      <c r="C210" s="6">
        <v>28</v>
      </c>
      <c r="D210" s="6">
        <v>16</v>
      </c>
      <c r="E210" s="6">
        <v>12</v>
      </c>
    </row>
    <row r="211" spans="1:6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>
        <v>4</v>
      </c>
      <c r="D215" s="6">
        <v>3</v>
      </c>
      <c r="E215" s="6">
        <v>1</v>
      </c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53">
        <v>0</v>
      </c>
      <c r="D218" s="53">
        <v>0</v>
      </c>
      <c r="E218" s="53"/>
      <c r="F218" s="52"/>
    </row>
    <row r="219" spans="1:6" ht="36.75" thickBot="1" x14ac:dyDescent="0.3">
      <c r="A219" s="7" t="s">
        <v>395</v>
      </c>
      <c r="B219" s="23" t="s">
        <v>396</v>
      </c>
      <c r="C219" s="11">
        <f>SUM(C220:C232)+C249</f>
        <v>28</v>
      </c>
      <c r="D219" s="11">
        <f t="shared" ref="D219:E219" si="11">SUM(D220:D232)+D249</f>
        <v>17</v>
      </c>
      <c r="E219" s="11">
        <f t="shared" si="11"/>
        <v>10</v>
      </c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>
        <v>1</v>
      </c>
      <c r="D228" s="6">
        <v>1</v>
      </c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>
        <v>1</v>
      </c>
      <c r="D230" s="6">
        <v>1</v>
      </c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>
        <f t="shared" ref="C232:E232" si="12">SUM(C233:C243)</f>
        <v>25</v>
      </c>
      <c r="D232" s="6">
        <v>14</v>
      </c>
      <c r="E232" s="6">
        <f t="shared" si="12"/>
        <v>10</v>
      </c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>
        <v>2</v>
      </c>
      <c r="D238" s="6">
        <v>1</v>
      </c>
      <c r="E238" s="6">
        <f>1</f>
        <v>1</v>
      </c>
    </row>
    <row r="239" spans="1:5" ht="24.75" thickBot="1" x14ac:dyDescent="0.3">
      <c r="A239" s="12" t="s">
        <v>435</v>
      </c>
      <c r="B239" s="26" t="s">
        <v>436</v>
      </c>
      <c r="C239" s="6">
        <v>2</v>
      </c>
      <c r="D239" s="6">
        <v>2</v>
      </c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6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6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6" ht="48.75" thickBot="1" x14ac:dyDescent="0.3">
      <c r="A243" s="12" t="s">
        <v>443</v>
      </c>
      <c r="B243" s="26" t="s">
        <v>444</v>
      </c>
      <c r="C243" s="6">
        <v>21</v>
      </c>
      <c r="D243" s="6">
        <v>12</v>
      </c>
      <c r="E243" s="6">
        <v>9</v>
      </c>
    </row>
    <row r="244" spans="1:6" ht="36.75" thickBot="1" x14ac:dyDescent="0.3">
      <c r="A244" s="12" t="s">
        <v>445</v>
      </c>
      <c r="B244" s="26" t="s">
        <v>446</v>
      </c>
      <c r="C244" s="6">
        <v>21</v>
      </c>
      <c r="D244" s="6">
        <v>12</v>
      </c>
      <c r="E244" s="6">
        <v>9</v>
      </c>
    </row>
    <row r="245" spans="1:6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6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6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6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6" ht="15.75" thickBot="1" x14ac:dyDescent="0.3">
      <c r="A249" s="12" t="s">
        <v>455</v>
      </c>
      <c r="B249" s="26" t="s">
        <v>456</v>
      </c>
      <c r="C249" s="6">
        <f>1</f>
        <v>1</v>
      </c>
      <c r="D249" s="6">
        <f>1</f>
        <v>1</v>
      </c>
      <c r="E249" s="6"/>
    </row>
    <row r="250" spans="1:6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6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6" ht="24.75" thickBot="1" x14ac:dyDescent="0.3">
      <c r="A252" s="7" t="s">
        <v>460</v>
      </c>
      <c r="B252" s="23" t="s">
        <v>461</v>
      </c>
      <c r="C252" s="11">
        <v>0</v>
      </c>
      <c r="D252" s="11"/>
      <c r="E252" s="11"/>
    </row>
    <row r="253" spans="1:6" ht="48.75" thickBot="1" x14ac:dyDescent="0.3">
      <c r="A253" s="7" t="s">
        <v>462</v>
      </c>
      <c r="B253" s="23" t="s">
        <v>463</v>
      </c>
      <c r="C253" s="11">
        <v>0</v>
      </c>
      <c r="D253" s="11"/>
      <c r="E253" s="11"/>
    </row>
    <row r="254" spans="1:6" ht="24.75" thickBot="1" x14ac:dyDescent="0.3">
      <c r="A254" s="7" t="s">
        <v>464</v>
      </c>
      <c r="B254" s="23" t="s">
        <v>465</v>
      </c>
      <c r="C254" s="11">
        <v>0</v>
      </c>
      <c r="D254" s="11"/>
      <c r="E254" s="11"/>
      <c r="F254" s="52"/>
    </row>
    <row r="255" spans="1:6" ht="15.75" thickBot="1" x14ac:dyDescent="0.3">
      <c r="A255" s="8" t="s">
        <v>466</v>
      </c>
      <c r="B255" s="24" t="s">
        <v>467</v>
      </c>
      <c r="C255" s="6">
        <v>0</v>
      </c>
      <c r="D255" s="6"/>
      <c r="E255" s="6"/>
    </row>
    <row r="256" spans="1:6" ht="24.75" thickBot="1" x14ac:dyDescent="0.3">
      <c r="A256" s="10" t="s">
        <v>468</v>
      </c>
      <c r="B256" s="26" t="s">
        <v>469</v>
      </c>
      <c r="C256" s="6">
        <v>0</v>
      </c>
      <c r="D256" s="6"/>
      <c r="E256" s="6"/>
    </row>
    <row r="257" spans="1:5" ht="15.75" thickBot="1" x14ac:dyDescent="0.3">
      <c r="A257" s="10"/>
      <c r="B257" s="26" t="s">
        <v>470</v>
      </c>
      <c r="C257" s="6">
        <v>0</v>
      </c>
      <c r="D257" s="6"/>
      <c r="E257" s="6"/>
    </row>
    <row r="258" spans="1:5" ht="15.75" thickBot="1" x14ac:dyDescent="0.3">
      <c r="A258" s="10" t="s">
        <v>471</v>
      </c>
      <c r="B258" s="26" t="s">
        <v>472</v>
      </c>
      <c r="C258" s="6">
        <v>0</v>
      </c>
      <c r="D258" s="6"/>
      <c r="E258" s="6"/>
    </row>
    <row r="259" spans="1:5" ht="15.75" thickBot="1" x14ac:dyDescent="0.3">
      <c r="A259" s="10" t="s">
        <v>473</v>
      </c>
      <c r="B259" s="26" t="s">
        <v>474</v>
      </c>
      <c r="C259" s="6">
        <v>0</v>
      </c>
      <c r="D259" s="6"/>
      <c r="E259" s="6"/>
    </row>
    <row r="260" spans="1:5" ht="15.75" thickBot="1" x14ac:dyDescent="0.3">
      <c r="A260" s="10" t="s">
        <v>475</v>
      </c>
      <c r="B260" s="26" t="s">
        <v>476</v>
      </c>
      <c r="C260" s="6">
        <v>1</v>
      </c>
      <c r="D260" s="6"/>
      <c r="E260" s="6"/>
    </row>
    <row r="261" spans="1:5" ht="15.75" thickBot="1" x14ac:dyDescent="0.3">
      <c r="A261" s="10" t="s">
        <v>477</v>
      </c>
      <c r="B261" s="26" t="s">
        <v>478</v>
      </c>
      <c r="C261" s="6">
        <v>0</v>
      </c>
      <c r="D261" s="6"/>
      <c r="E261" s="6"/>
    </row>
    <row r="262" spans="1:5" ht="15.75" thickBot="1" x14ac:dyDescent="0.3">
      <c r="A262" s="10" t="s">
        <v>479</v>
      </c>
      <c r="B262" s="26" t="s">
        <v>474</v>
      </c>
      <c r="C262" s="6">
        <v>1</v>
      </c>
      <c r="D262" s="6"/>
      <c r="E262" s="6"/>
    </row>
    <row r="263" spans="1:5" ht="24.75" thickBot="1" x14ac:dyDescent="0.3">
      <c r="A263" s="7" t="s">
        <v>480</v>
      </c>
      <c r="B263" s="23" t="s">
        <v>481</v>
      </c>
      <c r="C263" s="11">
        <v>0</v>
      </c>
      <c r="D263" s="11"/>
      <c r="E263" s="11"/>
    </row>
    <row r="264" spans="1:5" ht="15.75" thickBot="1" x14ac:dyDescent="0.3">
      <c r="A264" s="10"/>
      <c r="B264" s="26" t="s">
        <v>470</v>
      </c>
      <c r="C264" s="6">
        <v>0</v>
      </c>
      <c r="D264" s="6"/>
      <c r="E264" s="6"/>
    </row>
    <row r="265" spans="1:5" ht="24.75" thickBot="1" x14ac:dyDescent="0.3">
      <c r="A265" s="10" t="s">
        <v>482</v>
      </c>
      <c r="B265" s="26" t="s">
        <v>483</v>
      </c>
      <c r="C265" s="6">
        <v>0</v>
      </c>
      <c r="D265" s="6"/>
      <c r="E265" s="6"/>
    </row>
    <row r="266" spans="1:5" ht="24.75" thickBot="1" x14ac:dyDescent="0.3">
      <c r="A266" s="10" t="s">
        <v>484</v>
      </c>
      <c r="B266" s="26" t="s">
        <v>485</v>
      </c>
      <c r="C266" s="6">
        <v>0</v>
      </c>
      <c r="D266" s="6"/>
      <c r="E266" s="6"/>
    </row>
    <row r="267" spans="1:5" ht="24.75" thickBot="1" x14ac:dyDescent="0.3">
      <c r="A267" s="10" t="s">
        <v>484</v>
      </c>
      <c r="B267" s="26" t="s">
        <v>486</v>
      </c>
      <c r="C267" s="6">
        <v>0</v>
      </c>
      <c r="D267" s="6"/>
      <c r="E267" s="6"/>
    </row>
    <row r="268" spans="1:5" ht="24" customHeight="1" x14ac:dyDescent="0.25">
      <c r="A268" s="82"/>
      <c r="B268" s="82"/>
      <c r="C268" s="82"/>
      <c r="D268" s="82"/>
      <c r="E268" s="82"/>
    </row>
    <row r="269" spans="1:5" x14ac:dyDescent="0.25">
      <c r="A269" s="19"/>
      <c r="B269" s="76"/>
      <c r="C269" s="76"/>
      <c r="D269" s="76"/>
      <c r="E269" s="76"/>
    </row>
    <row r="270" spans="1:5" x14ac:dyDescent="0.25">
      <c r="A270" s="86" t="s">
        <v>487</v>
      </c>
      <c r="B270" s="86"/>
      <c r="C270" s="86"/>
      <c r="D270" s="86"/>
      <c r="E270" s="86"/>
    </row>
    <row r="271" spans="1:5" ht="46.5" customHeight="1" x14ac:dyDescent="0.25">
      <c r="A271" s="85" t="s">
        <v>488</v>
      </c>
      <c r="B271" s="85"/>
      <c r="C271" s="85"/>
      <c r="D271" s="85"/>
      <c r="E271" s="85"/>
    </row>
    <row r="272" spans="1:5" ht="24" customHeight="1" x14ac:dyDescent="0.25">
      <c r="A272" s="85" t="s">
        <v>498</v>
      </c>
      <c r="B272" s="85"/>
      <c r="C272" s="85"/>
      <c r="D272" s="85"/>
      <c r="E272" s="85"/>
    </row>
    <row r="273" spans="1:5" ht="30.75" customHeight="1" x14ac:dyDescent="0.25">
      <c r="A273" s="85" t="s">
        <v>499</v>
      </c>
      <c r="B273" s="85"/>
      <c r="C273" s="85"/>
      <c r="D273" s="85"/>
      <c r="E273" s="85"/>
    </row>
    <row r="274" spans="1:5" ht="70.5" customHeight="1" x14ac:dyDescent="0.25">
      <c r="A274" s="85" t="s">
        <v>489</v>
      </c>
      <c r="B274" s="85"/>
      <c r="C274" s="85"/>
      <c r="D274" s="85"/>
      <c r="E274" s="85"/>
    </row>
    <row r="275" spans="1:5" ht="39.75" customHeight="1" x14ac:dyDescent="0.25">
      <c r="A275" s="85" t="s">
        <v>490</v>
      </c>
      <c r="B275" s="85"/>
      <c r="C275" s="85"/>
      <c r="D275" s="85"/>
      <c r="E275" s="85"/>
    </row>
    <row r="276" spans="1:5" ht="15.75" x14ac:dyDescent="0.25">
      <c r="A276" s="20"/>
    </row>
  </sheetData>
  <mergeCells count="19">
    <mergeCell ref="A275:E275"/>
    <mergeCell ref="A1:E1"/>
    <mergeCell ref="A3:E3"/>
    <mergeCell ref="A4:E4"/>
    <mergeCell ref="A5:B5"/>
    <mergeCell ref="A270:E270"/>
    <mergeCell ref="A271:E271"/>
    <mergeCell ref="A272:E272"/>
    <mergeCell ref="A273:E273"/>
    <mergeCell ref="A274:E274"/>
    <mergeCell ref="A106:A107"/>
    <mergeCell ref="C106:C107"/>
    <mergeCell ref="D106:D107"/>
    <mergeCell ref="E106:E107"/>
    <mergeCell ref="A268:E268"/>
    <mergeCell ref="B269:E269"/>
    <mergeCell ref="A7:A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6"/>
  <sheetViews>
    <sheetView topLeftCell="A265" zoomScaleNormal="100" zoomScaleSheetLayoutView="130" workbookViewId="0">
      <selection activeCell="B285" sqref="B285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/>
    <col min="6" max="8" width="9.140625" customWidth="1"/>
  </cols>
  <sheetData>
    <row r="1" spans="1:8" ht="15.75" x14ac:dyDescent="0.25">
      <c r="A1" s="66" t="s">
        <v>0</v>
      </c>
      <c r="B1" s="66"/>
      <c r="C1" s="66"/>
      <c r="D1" s="66"/>
      <c r="E1" s="66"/>
    </row>
    <row r="2" spans="1:8" ht="15.75" x14ac:dyDescent="0.25">
      <c r="A2" s="47"/>
    </row>
    <row r="3" spans="1:8" ht="31.5" customHeight="1" x14ac:dyDescent="0.25">
      <c r="A3" s="67" t="s">
        <v>1</v>
      </c>
      <c r="B3" s="67"/>
      <c r="C3" s="67"/>
      <c r="D3" s="67"/>
      <c r="E3" s="67"/>
    </row>
    <row r="4" spans="1:8" ht="15.75" x14ac:dyDescent="0.25">
      <c r="A4" s="87" t="s">
        <v>505</v>
      </c>
      <c r="B4" s="68"/>
      <c r="C4" s="68"/>
      <c r="D4" s="68"/>
      <c r="E4" s="68"/>
    </row>
    <row r="5" spans="1:8" ht="18.75" x14ac:dyDescent="0.25">
      <c r="A5" s="69" t="s">
        <v>2</v>
      </c>
      <c r="B5" s="69"/>
      <c r="C5" s="48" t="s">
        <v>3</v>
      </c>
    </row>
    <row r="6" spans="1:8" ht="16.5" customHeight="1" thickBot="1" x14ac:dyDescent="0.3">
      <c r="A6" s="47"/>
    </row>
    <row r="7" spans="1:8" ht="15.75" customHeight="1" thickBot="1" x14ac:dyDescent="0.3">
      <c r="A7" s="70" t="s">
        <v>4</v>
      </c>
      <c r="B7" s="3" t="s">
        <v>5</v>
      </c>
      <c r="C7" s="72" t="s">
        <v>6</v>
      </c>
      <c r="D7" s="74" t="s">
        <v>7</v>
      </c>
      <c r="E7" s="75"/>
    </row>
    <row r="8" spans="1:8" ht="15.75" customHeight="1" thickBot="1" x14ac:dyDescent="0.3">
      <c r="A8" s="71"/>
      <c r="B8" s="4" t="s">
        <v>5</v>
      </c>
      <c r="C8" s="73"/>
      <c r="D8" s="4" t="s">
        <v>8</v>
      </c>
      <c r="E8" s="4" t="s">
        <v>9</v>
      </c>
    </row>
    <row r="9" spans="1:8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8" ht="15.75" customHeight="1" thickBot="1" x14ac:dyDescent="0.3">
      <c r="A10" s="7" t="s">
        <v>500</v>
      </c>
      <c r="B10" s="23" t="s">
        <v>11</v>
      </c>
      <c r="C10" s="11">
        <f>D10+E10</f>
        <v>145</v>
      </c>
      <c r="D10" s="11">
        <v>103</v>
      </c>
      <c r="E10" s="11">
        <v>42</v>
      </c>
      <c r="G10">
        <f>C10</f>
        <v>145</v>
      </c>
      <c r="H10">
        <f>C25+C30</f>
        <v>145</v>
      </c>
    </row>
    <row r="11" spans="1:8" ht="15.75" thickBot="1" x14ac:dyDescent="0.3">
      <c r="A11" s="8" t="s">
        <v>12</v>
      </c>
      <c r="B11" s="24" t="s">
        <v>13</v>
      </c>
      <c r="C11" s="9">
        <f>D11+E11</f>
        <v>47</v>
      </c>
      <c r="D11" s="9">
        <f>7+11+10+5</f>
        <v>33</v>
      </c>
      <c r="E11" s="9">
        <f>5+5+4</f>
        <v>14</v>
      </c>
      <c r="G11">
        <f>C11</f>
        <v>47</v>
      </c>
      <c r="H11">
        <f>C26+C31</f>
        <v>47</v>
      </c>
    </row>
    <row r="12" spans="1:8" ht="24.75" thickBot="1" x14ac:dyDescent="0.3">
      <c r="A12" s="10" t="s">
        <v>14</v>
      </c>
      <c r="B12" s="25" t="s">
        <v>501</v>
      </c>
      <c r="C12" s="6">
        <f>C13+C14+C15+C16+C17+C18+C19+C20+C21</f>
        <v>98</v>
      </c>
      <c r="D12" s="6">
        <f t="shared" ref="D12:E12" si="0">D13+D14+D15+D16+D17+D18+D19+D20+D21</f>
        <v>70</v>
      </c>
      <c r="E12" s="6">
        <f t="shared" si="0"/>
        <v>28</v>
      </c>
    </row>
    <row r="13" spans="1:8" ht="24.75" thickBot="1" x14ac:dyDescent="0.3">
      <c r="A13" s="8" t="s">
        <v>16</v>
      </c>
      <c r="B13" s="24" t="s">
        <v>17</v>
      </c>
      <c r="C13" s="9">
        <v>6</v>
      </c>
      <c r="D13" s="9">
        <f>1+2</f>
        <v>3</v>
      </c>
      <c r="E13" s="9">
        <f>3</f>
        <v>3</v>
      </c>
    </row>
    <row r="14" spans="1:8" ht="24.75" thickBot="1" x14ac:dyDescent="0.3">
      <c r="A14" s="8" t="s">
        <v>18</v>
      </c>
      <c r="B14" s="24" t="s">
        <v>19</v>
      </c>
      <c r="C14" s="9"/>
      <c r="D14" s="9"/>
      <c r="E14" s="9"/>
    </row>
    <row r="15" spans="1:8" ht="24.75" thickBot="1" x14ac:dyDescent="0.3">
      <c r="A15" s="8" t="s">
        <v>20</v>
      </c>
      <c r="B15" s="24" t="s">
        <v>21</v>
      </c>
      <c r="C15" s="9"/>
      <c r="D15" s="9"/>
      <c r="E15" s="9"/>
    </row>
    <row r="16" spans="1:8" ht="24.75" thickBot="1" x14ac:dyDescent="0.3">
      <c r="A16" s="8" t="s">
        <v>22</v>
      </c>
      <c r="B16" s="24" t="s">
        <v>23</v>
      </c>
      <c r="C16" s="9">
        <v>78</v>
      </c>
      <c r="D16" s="9">
        <f>30+17+9</f>
        <v>56</v>
      </c>
      <c r="E16" s="9">
        <f>5+8+9</f>
        <v>22</v>
      </c>
    </row>
    <row r="17" spans="1:8" ht="24.75" thickBot="1" x14ac:dyDescent="0.3">
      <c r="A17" s="8" t="s">
        <v>24</v>
      </c>
      <c r="B17" s="24" t="s">
        <v>25</v>
      </c>
      <c r="C17" s="9">
        <v>14</v>
      </c>
      <c r="D17" s="9">
        <f>2+1+2+6</f>
        <v>11</v>
      </c>
      <c r="E17" s="9">
        <f>1+2</f>
        <v>3</v>
      </c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491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>
        <f>C23+C24</f>
        <v>0</v>
      </c>
      <c r="D22" s="9">
        <v>0</v>
      </c>
      <c r="E22" s="9">
        <v>0</v>
      </c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>
        <f>C26+C27</f>
        <v>77</v>
      </c>
      <c r="D25" s="11">
        <f t="shared" ref="D25:E25" si="1">D26+D27</f>
        <v>57</v>
      </c>
      <c r="E25" s="11">
        <f t="shared" si="1"/>
        <v>20</v>
      </c>
      <c r="G25">
        <f>C25</f>
        <v>77</v>
      </c>
      <c r="H25">
        <f>C26+C27</f>
        <v>77</v>
      </c>
    </row>
    <row r="26" spans="1:8" ht="15.75" thickBot="1" x14ac:dyDescent="0.3">
      <c r="A26" s="10" t="s">
        <v>41</v>
      </c>
      <c r="B26" s="26" t="s">
        <v>42</v>
      </c>
      <c r="C26" s="6">
        <v>2</v>
      </c>
      <c r="D26" s="6">
        <v>0</v>
      </c>
      <c r="E26" s="6">
        <v>2</v>
      </c>
    </row>
    <row r="27" spans="1:8" ht="24.75" thickBot="1" x14ac:dyDescent="0.3">
      <c r="A27" s="10" t="s">
        <v>43</v>
      </c>
      <c r="B27" s="26" t="s">
        <v>44</v>
      </c>
      <c r="C27" s="6">
        <v>75</v>
      </c>
      <c r="D27" s="6">
        <v>57</v>
      </c>
      <c r="E27" s="6">
        <f>15+3</f>
        <v>18</v>
      </c>
    </row>
    <row r="28" spans="1:8" ht="36.75" thickBot="1" x14ac:dyDescent="0.3">
      <c r="A28" s="10" t="s">
        <v>45</v>
      </c>
      <c r="B28" s="26" t="s">
        <v>46</v>
      </c>
      <c r="C28" s="6">
        <v>59</v>
      </c>
      <c r="D28" s="6">
        <f>13+8+16+8</f>
        <v>45</v>
      </c>
      <c r="E28" s="6">
        <f>1+2+5+6</f>
        <v>14</v>
      </c>
    </row>
    <row r="29" spans="1:8" ht="15.75" thickBot="1" x14ac:dyDescent="0.3">
      <c r="A29" s="10" t="s">
        <v>47</v>
      </c>
      <c r="B29" s="26" t="s">
        <v>48</v>
      </c>
      <c r="C29" s="6">
        <v>11</v>
      </c>
      <c r="D29" s="6">
        <f>1+1+2+6</f>
        <v>10</v>
      </c>
      <c r="E29" s="6">
        <f>1</f>
        <v>1</v>
      </c>
    </row>
    <row r="30" spans="1:8" ht="24.75" thickBot="1" x14ac:dyDescent="0.3">
      <c r="A30" s="7" t="s">
        <v>49</v>
      </c>
      <c r="B30" s="23" t="s">
        <v>50</v>
      </c>
      <c r="C30" s="11">
        <f>C31+C32</f>
        <v>68</v>
      </c>
      <c r="D30" s="11">
        <f t="shared" ref="D30:E30" si="2">D31+D32</f>
        <v>46</v>
      </c>
      <c r="E30" s="11">
        <f t="shared" si="2"/>
        <v>22</v>
      </c>
      <c r="G30">
        <f>C30</f>
        <v>68</v>
      </c>
      <c r="H30">
        <f>C31+C32</f>
        <v>68</v>
      </c>
    </row>
    <row r="31" spans="1:8" ht="15.75" thickBot="1" x14ac:dyDescent="0.3">
      <c r="A31" s="12" t="s">
        <v>51</v>
      </c>
      <c r="B31" s="26" t="s">
        <v>52</v>
      </c>
      <c r="C31" s="6">
        <v>45</v>
      </c>
      <c r="D31" s="6">
        <f>7+11+10+5</f>
        <v>33</v>
      </c>
      <c r="E31" s="6">
        <f>1+3+5+3</f>
        <v>12</v>
      </c>
    </row>
    <row r="32" spans="1:8" ht="24.75" thickBot="1" x14ac:dyDescent="0.3">
      <c r="A32" s="12" t="s">
        <v>53</v>
      </c>
      <c r="B32" s="26" t="s">
        <v>54</v>
      </c>
      <c r="C32" s="6">
        <v>23</v>
      </c>
      <c r="D32" s="6">
        <v>13</v>
      </c>
      <c r="E32" s="6">
        <v>10</v>
      </c>
    </row>
    <row r="33" spans="1:5" ht="48.75" thickBot="1" x14ac:dyDescent="0.3">
      <c r="A33" s="12" t="s">
        <v>55</v>
      </c>
      <c r="B33" s="26" t="s">
        <v>56</v>
      </c>
      <c r="C33" s="6">
        <v>19</v>
      </c>
      <c r="D33" s="6">
        <f>5+4+1+1</f>
        <v>11</v>
      </c>
      <c r="E33" s="6">
        <f>2+3+3</f>
        <v>8</v>
      </c>
    </row>
    <row r="34" spans="1:5" ht="15.75" thickBot="1" x14ac:dyDescent="0.3">
      <c r="A34" s="12" t="s">
        <v>57</v>
      </c>
      <c r="B34" s="26" t="s">
        <v>58</v>
      </c>
      <c r="C34" s="6">
        <v>3</v>
      </c>
      <c r="D34" s="6">
        <f>1</f>
        <v>1</v>
      </c>
      <c r="E34" s="6">
        <f>1+1</f>
        <v>2</v>
      </c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492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>
        <v>0</v>
      </c>
      <c r="E44" s="11">
        <v>0</v>
      </c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/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/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/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15.75" thickBot="1" x14ac:dyDescent="0.3">
      <c r="A57" s="7" t="s">
        <v>102</v>
      </c>
      <c r="B57" s="27" t="s">
        <v>509</v>
      </c>
      <c r="C57" s="49">
        <v>1377</v>
      </c>
      <c r="D57" s="49">
        <v>949</v>
      </c>
      <c r="E57" s="49">
        <v>428</v>
      </c>
    </row>
    <row r="58" spans="1:5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5" ht="48.75" thickBot="1" x14ac:dyDescent="0.3">
      <c r="A59" s="7" t="s">
        <v>106</v>
      </c>
      <c r="B59" s="23" t="s">
        <v>107</v>
      </c>
      <c r="C59" s="11"/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/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/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/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/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/>
      <c r="D64" s="11"/>
      <c r="E64" s="11"/>
    </row>
    <row r="65" spans="1:8" ht="36.75" thickBot="1" x14ac:dyDescent="0.3">
      <c r="A65" s="7" t="s">
        <v>118</v>
      </c>
      <c r="B65" s="23" t="s">
        <v>119</v>
      </c>
      <c r="C65" s="49"/>
      <c r="D65" s="39"/>
      <c r="E65" s="39"/>
    </row>
    <row r="66" spans="1:8" ht="36.75" thickBot="1" x14ac:dyDescent="0.3">
      <c r="A66" s="7" t="s">
        <v>120</v>
      </c>
      <c r="B66" s="23" t="s">
        <v>121</v>
      </c>
      <c r="C66" s="49"/>
      <c r="D66" s="39"/>
      <c r="E66" s="39"/>
    </row>
    <row r="67" spans="1:8" ht="36.75" thickBot="1" x14ac:dyDescent="0.3">
      <c r="A67" s="7" t="s">
        <v>122</v>
      </c>
      <c r="B67" s="23" t="s">
        <v>123</v>
      </c>
      <c r="C67" s="49"/>
      <c r="D67" s="39"/>
      <c r="E67" s="39"/>
    </row>
    <row r="68" spans="1:8" ht="15.75" thickBot="1" x14ac:dyDescent="0.3">
      <c r="A68" s="10" t="s">
        <v>124</v>
      </c>
      <c r="B68" s="26" t="s">
        <v>125</v>
      </c>
      <c r="C68" s="6"/>
      <c r="D68" s="6"/>
      <c r="E68" s="6"/>
    </row>
    <row r="69" spans="1:8" ht="15.75" thickBot="1" x14ac:dyDescent="0.3">
      <c r="A69" s="10" t="s">
        <v>126</v>
      </c>
      <c r="B69" s="26" t="s">
        <v>127</v>
      </c>
      <c r="C69" s="6"/>
      <c r="D69" s="6"/>
      <c r="E69" s="6"/>
    </row>
    <row r="70" spans="1:8" ht="15.75" thickBot="1" x14ac:dyDescent="0.3">
      <c r="A70" s="10" t="s">
        <v>128</v>
      </c>
      <c r="B70" s="26" t="s">
        <v>129</v>
      </c>
      <c r="C70" s="6"/>
      <c r="D70" s="6"/>
      <c r="E70" s="6"/>
    </row>
    <row r="71" spans="1:8" ht="15.75" thickBot="1" x14ac:dyDescent="0.3">
      <c r="A71" s="10" t="s">
        <v>130</v>
      </c>
      <c r="B71" s="26" t="s">
        <v>131</v>
      </c>
      <c r="C71" s="6"/>
      <c r="D71" s="6"/>
      <c r="E71" s="6"/>
    </row>
    <row r="72" spans="1:8" ht="24.75" thickBot="1" x14ac:dyDescent="0.3">
      <c r="A72" s="7" t="s">
        <v>132</v>
      </c>
      <c r="B72" s="23" t="s">
        <v>133</v>
      </c>
      <c r="C72" s="11"/>
      <c r="D72" s="11"/>
      <c r="E72" s="11"/>
    </row>
    <row r="73" spans="1:8" ht="15.75" thickBot="1" x14ac:dyDescent="0.3">
      <c r="A73" s="7" t="s">
        <v>134</v>
      </c>
      <c r="B73" s="23" t="s">
        <v>135</v>
      </c>
      <c r="C73" s="11"/>
      <c r="D73" s="11"/>
      <c r="E73" s="11"/>
    </row>
    <row r="74" spans="1:8" ht="24.75" thickBot="1" x14ac:dyDescent="0.3">
      <c r="A74" s="7" t="s">
        <v>136</v>
      </c>
      <c r="B74" s="23" t="s">
        <v>137</v>
      </c>
      <c r="C74" s="11"/>
      <c r="D74" s="11"/>
      <c r="E74" s="11"/>
    </row>
    <row r="75" spans="1:8" ht="24.75" thickBot="1" x14ac:dyDescent="0.3">
      <c r="A75" s="7" t="s">
        <v>138</v>
      </c>
      <c r="B75" s="23" t="s">
        <v>139</v>
      </c>
      <c r="C75" s="11">
        <v>146</v>
      </c>
      <c r="D75" s="11">
        <f>64+17+2</f>
        <v>83</v>
      </c>
      <c r="E75" s="11">
        <f>6+1+2+7+2+7+3+10+8+1+12+2+2</f>
        <v>63</v>
      </c>
      <c r="H75" t="s">
        <v>511</v>
      </c>
    </row>
    <row r="76" spans="1:8" ht="24.75" thickBot="1" x14ac:dyDescent="0.3">
      <c r="A76" s="10" t="s">
        <v>140</v>
      </c>
      <c r="B76" s="26" t="s">
        <v>141</v>
      </c>
      <c r="C76" s="6">
        <v>15</v>
      </c>
      <c r="D76" s="6">
        <f>9+1</f>
        <v>10</v>
      </c>
      <c r="E76" s="6">
        <f>3+2</f>
        <v>5</v>
      </c>
    </row>
    <row r="77" spans="1:8" ht="24.75" thickBot="1" x14ac:dyDescent="0.3">
      <c r="A77" s="7" t="s">
        <v>142</v>
      </c>
      <c r="B77" s="23" t="s">
        <v>143</v>
      </c>
      <c r="C77" s="11"/>
      <c r="D77" s="11"/>
      <c r="E77" s="11"/>
    </row>
    <row r="78" spans="1:8" ht="36.75" thickBot="1" x14ac:dyDescent="0.3">
      <c r="A78" s="10" t="s">
        <v>144</v>
      </c>
      <c r="B78" s="24" t="s">
        <v>145</v>
      </c>
      <c r="C78" s="6"/>
      <c r="D78" s="6"/>
      <c r="E78" s="6"/>
    </row>
    <row r="79" spans="1:8" ht="36.75" thickBot="1" x14ac:dyDescent="0.3">
      <c r="A79" s="7" t="s">
        <v>146</v>
      </c>
      <c r="B79" s="23" t="s">
        <v>147</v>
      </c>
      <c r="C79" s="49">
        <f>C80+C83</f>
        <v>13</v>
      </c>
      <c r="D79" s="49">
        <f t="shared" ref="D79:E79" si="3">D80+D83</f>
        <v>8</v>
      </c>
      <c r="E79" s="49">
        <f t="shared" si="3"/>
        <v>5</v>
      </c>
    </row>
    <row r="80" spans="1:8" ht="24.75" thickBot="1" x14ac:dyDescent="0.3">
      <c r="A80" s="8" t="s">
        <v>148</v>
      </c>
      <c r="B80" s="24" t="s">
        <v>149</v>
      </c>
      <c r="C80" s="6">
        <f>C81+C82</f>
        <v>11</v>
      </c>
      <c r="D80" s="6">
        <f t="shared" ref="D80:E80" si="4">D81+D82</f>
        <v>7</v>
      </c>
      <c r="E80" s="6">
        <f t="shared" si="4"/>
        <v>4</v>
      </c>
    </row>
    <row r="81" spans="1:11" ht="36.75" thickBot="1" x14ac:dyDescent="0.3">
      <c r="A81" s="8" t="s">
        <v>150</v>
      </c>
      <c r="B81" s="24" t="s">
        <v>151</v>
      </c>
      <c r="C81" s="6">
        <v>0</v>
      </c>
      <c r="D81" s="6">
        <v>0</v>
      </c>
      <c r="E81" s="6">
        <v>0</v>
      </c>
    </row>
    <row r="82" spans="1:11" ht="36.75" thickBot="1" x14ac:dyDescent="0.3">
      <c r="A82" s="8" t="s">
        <v>152</v>
      </c>
      <c r="B82" s="24" t="s">
        <v>153</v>
      </c>
      <c r="C82" s="6">
        <v>11</v>
      </c>
      <c r="D82" s="6">
        <v>7</v>
      </c>
      <c r="E82" s="6">
        <v>4</v>
      </c>
    </row>
    <row r="83" spans="1:11" ht="24.75" thickBot="1" x14ac:dyDescent="0.3">
      <c r="A83" s="8" t="s">
        <v>154</v>
      </c>
      <c r="B83" s="24" t="s">
        <v>155</v>
      </c>
      <c r="C83" s="6">
        <v>2</v>
      </c>
      <c r="D83" s="6">
        <v>1</v>
      </c>
      <c r="E83" s="6">
        <v>1</v>
      </c>
    </row>
    <row r="84" spans="1:11" ht="48.75" thickBot="1" x14ac:dyDescent="0.3">
      <c r="A84" s="15" t="s">
        <v>493</v>
      </c>
      <c r="B84" s="24" t="s">
        <v>156</v>
      </c>
      <c r="C84" s="6">
        <v>0</v>
      </c>
      <c r="D84" s="6">
        <v>0</v>
      </c>
      <c r="E84" s="6">
        <v>0</v>
      </c>
    </row>
    <row r="85" spans="1:11" ht="24.75" thickBot="1" x14ac:dyDescent="0.3">
      <c r="A85" s="7" t="s">
        <v>157</v>
      </c>
      <c r="B85" s="23" t="s">
        <v>158</v>
      </c>
      <c r="C85" s="11">
        <v>950</v>
      </c>
      <c r="D85" s="11">
        <v>672</v>
      </c>
      <c r="E85" s="11">
        <v>278</v>
      </c>
      <c r="G85">
        <f>C85</f>
        <v>950</v>
      </c>
      <c r="H85">
        <f>C88+C91+C94+C97+C100+C103+C106</f>
        <v>950</v>
      </c>
      <c r="K85">
        <v>794</v>
      </c>
    </row>
    <row r="86" spans="1:11" ht="15.75" thickBot="1" x14ac:dyDescent="0.3">
      <c r="A86" s="12" t="s">
        <v>159</v>
      </c>
      <c r="B86" s="26" t="s">
        <v>13</v>
      </c>
      <c r="C86" s="6">
        <v>603</v>
      </c>
      <c r="D86" s="6">
        <f>319+100+53</f>
        <v>472</v>
      </c>
      <c r="E86" s="6">
        <f>68+29+34</f>
        <v>131</v>
      </c>
      <c r="G86">
        <f>C86</f>
        <v>603</v>
      </c>
      <c r="H86">
        <f>C89+C92+C95+C98+C101+C104+C108</f>
        <v>603</v>
      </c>
      <c r="K86">
        <v>516</v>
      </c>
    </row>
    <row r="87" spans="1:11" ht="24.75" thickBot="1" x14ac:dyDescent="0.3">
      <c r="A87" s="12" t="s">
        <v>160</v>
      </c>
      <c r="B87" s="26" t="s">
        <v>161</v>
      </c>
      <c r="C87" s="6">
        <v>347</v>
      </c>
      <c r="D87" s="6">
        <f>15+20+126+2+35+2</f>
        <v>200</v>
      </c>
      <c r="E87" s="6">
        <f>11+9+60+8+57+2</f>
        <v>147</v>
      </c>
    </row>
    <row r="88" spans="1:11" ht="15.75" thickBot="1" x14ac:dyDescent="0.3">
      <c r="A88" s="26" t="s">
        <v>162</v>
      </c>
      <c r="B88" s="26" t="s">
        <v>494</v>
      </c>
      <c r="C88" s="55">
        <v>561</v>
      </c>
      <c r="D88" s="55">
        <v>351</v>
      </c>
      <c r="E88" s="55">
        <v>210</v>
      </c>
    </row>
    <row r="89" spans="1:11" ht="15.75" thickBot="1" x14ac:dyDescent="0.3">
      <c r="A89" s="12" t="s">
        <v>164</v>
      </c>
      <c r="B89" s="26" t="s">
        <v>13</v>
      </c>
      <c r="C89" s="6">
        <v>302</v>
      </c>
      <c r="D89" s="6">
        <f>72+1+2+5+3+3+2+7+3+2+5+18+6+8+8+4+7+9+4+53</f>
        <v>222</v>
      </c>
      <c r="E89" s="6">
        <f>3+10+4+4+8+7+10+34</f>
        <v>80</v>
      </c>
    </row>
    <row r="90" spans="1:11" ht="24.75" thickBot="1" x14ac:dyDescent="0.3">
      <c r="A90" s="12" t="s">
        <v>165</v>
      </c>
      <c r="B90" s="26" t="s">
        <v>166</v>
      </c>
      <c r="C90" s="6">
        <v>259</v>
      </c>
      <c r="D90" s="6">
        <f>12+50+52+13+2</f>
        <v>129</v>
      </c>
      <c r="E90" s="6">
        <f>63+8+57+2</f>
        <v>130</v>
      </c>
    </row>
    <row r="91" spans="1:11" x14ac:dyDescent="0.25">
      <c r="A91" s="22" t="s">
        <v>167</v>
      </c>
      <c r="B91" s="28" t="s">
        <v>495</v>
      </c>
      <c r="C91" s="56">
        <v>204</v>
      </c>
      <c r="D91" s="56">
        <v>167</v>
      </c>
      <c r="E91" s="56">
        <v>37</v>
      </c>
    </row>
    <row r="92" spans="1:11" ht="15.75" thickBot="1" x14ac:dyDescent="0.3">
      <c r="A92" s="44" t="s">
        <v>168</v>
      </c>
      <c r="B92" s="26" t="s">
        <v>13</v>
      </c>
      <c r="C92" s="6">
        <v>140</v>
      </c>
      <c r="D92" s="6">
        <f>21+2+7+4+45+6+9+3+1+5+4+3</f>
        <v>110</v>
      </c>
      <c r="E92" s="6">
        <f>6+3+9+4+8</f>
        <v>30</v>
      </c>
    </row>
    <row r="93" spans="1:11" ht="24.75" thickBot="1" x14ac:dyDescent="0.3">
      <c r="A93" s="44" t="s">
        <v>169</v>
      </c>
      <c r="B93" s="26" t="s">
        <v>166</v>
      </c>
      <c r="C93" s="6">
        <v>64</v>
      </c>
      <c r="D93" s="6">
        <f>8+12+35+2</f>
        <v>57</v>
      </c>
      <c r="E93" s="6">
        <f>7</f>
        <v>7</v>
      </c>
    </row>
    <row r="94" spans="1:11" x14ac:dyDescent="0.25">
      <c r="A94" s="43" t="s">
        <v>170</v>
      </c>
      <c r="B94" s="29" t="s">
        <v>496</v>
      </c>
      <c r="C94" s="56"/>
      <c r="D94" s="56"/>
      <c r="E94" s="56"/>
    </row>
    <row r="95" spans="1:11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11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8" ht="24.75" thickBot="1" x14ac:dyDescent="0.3">
      <c r="A97" s="44" t="s">
        <v>170</v>
      </c>
      <c r="B97" s="30" t="s">
        <v>173</v>
      </c>
      <c r="C97" s="57">
        <v>127</v>
      </c>
      <c r="D97" s="57">
        <v>97</v>
      </c>
      <c r="E97" s="57">
        <v>30</v>
      </c>
    </row>
    <row r="98" spans="1:8" ht="15.75" thickBot="1" x14ac:dyDescent="0.3">
      <c r="A98" s="44" t="s">
        <v>174</v>
      </c>
      <c r="B98" s="26" t="s">
        <v>13</v>
      </c>
      <c r="C98" s="6">
        <v>104</v>
      </c>
      <c r="D98" s="6">
        <f>65+13+1+6</f>
        <v>85</v>
      </c>
      <c r="E98" s="6">
        <f>1+6+8+3+1</f>
        <v>19</v>
      </c>
    </row>
    <row r="99" spans="1:8" ht="24.75" thickBot="1" x14ac:dyDescent="0.3">
      <c r="A99" s="44" t="s">
        <v>175</v>
      </c>
      <c r="B99" s="26" t="s">
        <v>166</v>
      </c>
      <c r="C99" s="6">
        <v>23</v>
      </c>
      <c r="D99" s="6">
        <v>12</v>
      </c>
      <c r="E99" s="6">
        <v>11</v>
      </c>
    </row>
    <row r="100" spans="1:8" ht="15.75" thickBot="1" x14ac:dyDescent="0.3">
      <c r="A100" s="44" t="s">
        <v>176</v>
      </c>
      <c r="B100" s="30" t="s">
        <v>177</v>
      </c>
      <c r="C100" s="57">
        <v>8</v>
      </c>
      <c r="D100" s="57">
        <v>6</v>
      </c>
      <c r="E100" s="57">
        <v>2</v>
      </c>
    </row>
    <row r="101" spans="1:8" ht="15.75" thickBot="1" x14ac:dyDescent="0.3">
      <c r="A101" s="44" t="s">
        <v>178</v>
      </c>
      <c r="B101" s="26" t="s">
        <v>13</v>
      </c>
      <c r="C101" s="6">
        <v>7</v>
      </c>
      <c r="D101" s="6">
        <v>5</v>
      </c>
      <c r="E101" s="6">
        <f>2</f>
        <v>2</v>
      </c>
    </row>
    <row r="102" spans="1:8" ht="24.75" thickBot="1" x14ac:dyDescent="0.3">
      <c r="A102" s="44" t="s">
        <v>179</v>
      </c>
      <c r="B102" s="26" t="s">
        <v>166</v>
      </c>
      <c r="C102" s="6">
        <v>1</v>
      </c>
      <c r="D102" s="6">
        <v>1</v>
      </c>
      <c r="E102" s="6"/>
    </row>
    <row r="103" spans="1:8" x14ac:dyDescent="0.25">
      <c r="A103" s="43" t="s">
        <v>180</v>
      </c>
      <c r="B103" s="29" t="s">
        <v>497</v>
      </c>
      <c r="C103" s="56"/>
      <c r="D103" s="56"/>
      <c r="E103" s="56"/>
    </row>
    <row r="104" spans="1:8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8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8" x14ac:dyDescent="0.25">
      <c r="A106" s="78" t="s">
        <v>183</v>
      </c>
      <c r="B106" s="29" t="s">
        <v>184</v>
      </c>
      <c r="C106" s="83">
        <v>50</v>
      </c>
      <c r="D106" s="83">
        <v>50</v>
      </c>
      <c r="E106" s="83"/>
    </row>
    <row r="107" spans="1:8" ht="15.75" thickBot="1" x14ac:dyDescent="0.3">
      <c r="A107" s="79"/>
      <c r="B107" s="30" t="s">
        <v>163</v>
      </c>
      <c r="C107" s="84"/>
      <c r="D107" s="84"/>
      <c r="E107" s="84"/>
    </row>
    <row r="108" spans="1:8" ht="15.75" thickBot="1" x14ac:dyDescent="0.3">
      <c r="A108" s="44" t="s">
        <v>185</v>
      </c>
      <c r="B108" s="26" t="s">
        <v>13</v>
      </c>
      <c r="C108" s="6">
        <v>50</v>
      </c>
      <c r="D108" s="6">
        <f>30+1+9+7+3</f>
        <v>50</v>
      </c>
      <c r="E108" s="6"/>
    </row>
    <row r="109" spans="1:8" ht="24.75" thickBot="1" x14ac:dyDescent="0.3">
      <c r="A109" s="44" t="s">
        <v>186</v>
      </c>
      <c r="B109" s="26" t="s">
        <v>166</v>
      </c>
      <c r="C109" s="6">
        <v>2</v>
      </c>
      <c r="D109" s="6">
        <v>2</v>
      </c>
      <c r="E109" s="6"/>
    </row>
    <row r="110" spans="1:8" ht="15.75" thickBot="1" x14ac:dyDescent="0.3">
      <c r="A110" s="44" t="s">
        <v>187</v>
      </c>
      <c r="B110" s="24" t="s">
        <v>188</v>
      </c>
      <c r="C110" s="16">
        <v>15</v>
      </c>
      <c r="D110" s="16">
        <f>10+5</f>
        <v>15</v>
      </c>
      <c r="E110" s="16">
        <v>0</v>
      </c>
      <c r="G110" s="60"/>
      <c r="H110" s="60"/>
    </row>
    <row r="111" spans="1:8" ht="24.75" thickBot="1" x14ac:dyDescent="0.3">
      <c r="A111" s="44" t="s">
        <v>189</v>
      </c>
      <c r="B111" s="24" t="s">
        <v>190</v>
      </c>
      <c r="C111" s="16">
        <v>433</v>
      </c>
      <c r="D111" s="16">
        <v>359</v>
      </c>
      <c r="E111" s="16">
        <v>74</v>
      </c>
      <c r="F111" s="52"/>
    </row>
    <row r="112" spans="1:8" ht="24.75" thickBot="1" x14ac:dyDescent="0.3">
      <c r="A112" s="44" t="s">
        <v>191</v>
      </c>
      <c r="B112" s="24" t="s">
        <v>192</v>
      </c>
      <c r="C112" s="16">
        <v>502</v>
      </c>
      <c r="D112" s="16">
        <v>298</v>
      </c>
      <c r="E112" s="16">
        <f>103+28+8+18+15+32</f>
        <v>204</v>
      </c>
      <c r="F112" s="52"/>
    </row>
    <row r="113" spans="1:10" ht="24.75" thickBot="1" x14ac:dyDescent="0.3">
      <c r="A113" s="44" t="s">
        <v>193</v>
      </c>
      <c r="B113" s="24" t="s">
        <v>194</v>
      </c>
      <c r="C113" s="16">
        <v>0</v>
      </c>
      <c r="D113" s="16">
        <v>0</v>
      </c>
      <c r="E113" s="16">
        <v>0</v>
      </c>
      <c r="F113" s="52"/>
    </row>
    <row r="114" spans="1:10" ht="36.75" thickBot="1" x14ac:dyDescent="0.3">
      <c r="A114" s="7" t="s">
        <v>195</v>
      </c>
      <c r="B114" s="23" t="s">
        <v>196</v>
      </c>
      <c r="C114" s="11">
        <f>C115+C116</f>
        <v>66</v>
      </c>
      <c r="D114" s="11">
        <f t="shared" ref="D114:E114" si="5">D115+D116</f>
        <v>44</v>
      </c>
      <c r="E114" s="11">
        <f t="shared" si="5"/>
        <v>22</v>
      </c>
    </row>
    <row r="115" spans="1:10" ht="15.75" thickBot="1" x14ac:dyDescent="0.3">
      <c r="A115" s="12" t="s">
        <v>197</v>
      </c>
      <c r="B115" s="26" t="s">
        <v>198</v>
      </c>
      <c r="C115" s="6">
        <v>45</v>
      </c>
      <c r="D115" s="6">
        <f>18+10+5</f>
        <v>33</v>
      </c>
      <c r="E115" s="6">
        <f>1+3+5+3</f>
        <v>12</v>
      </c>
    </row>
    <row r="116" spans="1:10" ht="24.75" thickBot="1" x14ac:dyDescent="0.3">
      <c r="A116" s="12" t="s">
        <v>199</v>
      </c>
      <c r="B116" s="26" t="s">
        <v>200</v>
      </c>
      <c r="C116" s="6">
        <v>21</v>
      </c>
      <c r="D116" s="6">
        <f>10+1</f>
        <v>11</v>
      </c>
      <c r="E116" s="6">
        <v>10</v>
      </c>
    </row>
    <row r="117" spans="1:10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10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10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10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10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10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10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10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10" ht="36.75" thickBot="1" x14ac:dyDescent="0.3">
      <c r="A125" s="7" t="s">
        <v>217</v>
      </c>
      <c r="B125" s="23" t="s">
        <v>218</v>
      </c>
      <c r="C125" s="11">
        <v>115</v>
      </c>
      <c r="D125" s="11">
        <f>D126+D127</f>
        <v>77</v>
      </c>
      <c r="E125" s="11">
        <f>E126+E127</f>
        <v>38</v>
      </c>
      <c r="G125">
        <f>C126+C127</f>
        <v>115</v>
      </c>
      <c r="H125">
        <f>C131+C132</f>
        <v>115</v>
      </c>
      <c r="J125" s="52" t="s">
        <v>511</v>
      </c>
    </row>
    <row r="126" spans="1:10" ht="15.75" thickBot="1" x14ac:dyDescent="0.3">
      <c r="A126" s="12" t="s">
        <v>219</v>
      </c>
      <c r="B126" s="26" t="s">
        <v>198</v>
      </c>
      <c r="C126" s="6">
        <v>89</v>
      </c>
      <c r="D126" s="6">
        <v>59</v>
      </c>
      <c r="E126" s="6">
        <v>30</v>
      </c>
    </row>
    <row r="127" spans="1:10" ht="24.75" thickBot="1" x14ac:dyDescent="0.3">
      <c r="A127" s="12" t="s">
        <v>220</v>
      </c>
      <c r="B127" s="26" t="s">
        <v>221</v>
      </c>
      <c r="C127" s="6">
        <v>26</v>
      </c>
      <c r="D127" s="6">
        <v>18</v>
      </c>
      <c r="E127" s="6">
        <f>6+2</f>
        <v>8</v>
      </c>
    </row>
    <row r="128" spans="1:10" ht="15.75" thickBot="1" x14ac:dyDescent="0.3">
      <c r="A128" s="12"/>
      <c r="B128" s="31" t="s">
        <v>222</v>
      </c>
      <c r="C128" s="6"/>
      <c r="D128" s="6"/>
      <c r="E128" s="6"/>
    </row>
    <row r="129" spans="1:12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12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12" ht="15.75" thickBot="1" x14ac:dyDescent="0.3">
      <c r="A131" s="12" t="s">
        <v>227</v>
      </c>
      <c r="B131" s="26" t="s">
        <v>228</v>
      </c>
      <c r="C131" s="6">
        <v>36</v>
      </c>
      <c r="D131" s="6">
        <f>18+5+1</f>
        <v>24</v>
      </c>
      <c r="E131" s="6">
        <v>12</v>
      </c>
    </row>
    <row r="132" spans="1:12" ht="24.75" thickBot="1" x14ac:dyDescent="0.3">
      <c r="A132" s="10" t="s">
        <v>229</v>
      </c>
      <c r="B132" s="26" t="s">
        <v>230</v>
      </c>
      <c r="C132" s="6">
        <f>C134+C136</f>
        <v>79</v>
      </c>
      <c r="D132" s="6">
        <f t="shared" ref="D132:E132" si="6">D134+D136</f>
        <v>53</v>
      </c>
      <c r="E132" s="6">
        <f t="shared" si="6"/>
        <v>26</v>
      </c>
    </row>
    <row r="133" spans="1:12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12" ht="15.75" thickBot="1" x14ac:dyDescent="0.3">
      <c r="A134" s="12" t="s">
        <v>233</v>
      </c>
      <c r="B134" s="26" t="s">
        <v>234</v>
      </c>
      <c r="C134" s="6">
        <v>37</v>
      </c>
      <c r="D134" s="6">
        <v>24</v>
      </c>
      <c r="E134" s="6">
        <v>13</v>
      </c>
    </row>
    <row r="135" spans="1:12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12" ht="15.75" thickBot="1" x14ac:dyDescent="0.3">
      <c r="A136" s="12" t="s">
        <v>237</v>
      </c>
      <c r="B136" s="26" t="s">
        <v>238</v>
      </c>
      <c r="C136" s="6">
        <v>42</v>
      </c>
      <c r="D136" s="6">
        <v>29</v>
      </c>
      <c r="E136" s="6">
        <v>13</v>
      </c>
    </row>
    <row r="137" spans="1:12" ht="24.75" thickBot="1" x14ac:dyDescent="0.3">
      <c r="A137" s="7" t="s">
        <v>239</v>
      </c>
      <c r="B137" s="23" t="s">
        <v>240</v>
      </c>
      <c r="C137" s="11">
        <v>61</v>
      </c>
      <c r="D137" s="11">
        <v>38</v>
      </c>
      <c r="E137" s="11">
        <v>23</v>
      </c>
    </row>
    <row r="138" spans="1:12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12" ht="15.75" thickBot="1" x14ac:dyDescent="0.3">
      <c r="A139" s="12" t="s">
        <v>243</v>
      </c>
      <c r="B139" s="26" t="s">
        <v>244</v>
      </c>
      <c r="C139" s="6">
        <v>27</v>
      </c>
      <c r="D139" s="6">
        <v>15</v>
      </c>
      <c r="E139" s="6">
        <v>12</v>
      </c>
    </row>
    <row r="140" spans="1:12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12" ht="15.75" thickBot="1" x14ac:dyDescent="0.3">
      <c r="A141" s="12" t="s">
        <v>247</v>
      </c>
      <c r="B141" s="26" t="s">
        <v>248</v>
      </c>
      <c r="C141" s="6">
        <v>34</v>
      </c>
      <c r="D141" s="6">
        <v>23</v>
      </c>
      <c r="E141" s="6">
        <v>11</v>
      </c>
    </row>
    <row r="142" spans="1:12" ht="36.75" thickBot="1" x14ac:dyDescent="0.3">
      <c r="A142" s="7" t="s">
        <v>249</v>
      </c>
      <c r="B142" s="23" t="s">
        <v>250</v>
      </c>
      <c r="C142" s="11">
        <f>C143+C144</f>
        <v>6401</v>
      </c>
      <c r="D142" s="11">
        <f>D143+D144</f>
        <v>4331</v>
      </c>
      <c r="E142" s="11">
        <f>E143+E144</f>
        <v>2070</v>
      </c>
      <c r="G142">
        <f>C142</f>
        <v>6401</v>
      </c>
      <c r="H142">
        <f>C147+C149</f>
        <v>6401</v>
      </c>
      <c r="L142">
        <v>5476</v>
      </c>
    </row>
    <row r="143" spans="1:12" ht="15.75" thickBot="1" x14ac:dyDescent="0.3">
      <c r="A143" s="12" t="s">
        <v>251</v>
      </c>
      <c r="B143" s="26" t="s">
        <v>198</v>
      </c>
      <c r="C143" s="6">
        <v>5021</v>
      </c>
      <c r="D143" s="6">
        <v>3251</v>
      </c>
      <c r="E143" s="6">
        <v>1770</v>
      </c>
    </row>
    <row r="144" spans="1:12" ht="24.75" thickBot="1" x14ac:dyDescent="0.3">
      <c r="A144" s="12" t="s">
        <v>252</v>
      </c>
      <c r="B144" s="26" t="s">
        <v>253</v>
      </c>
      <c r="C144" s="6">
        <v>1380</v>
      </c>
      <c r="D144" s="6">
        <v>1080</v>
      </c>
      <c r="E144" s="6">
        <v>300</v>
      </c>
    </row>
    <row r="145" spans="1:12" ht="24.75" thickBot="1" x14ac:dyDescent="0.3">
      <c r="A145" s="12"/>
      <c r="B145" s="31" t="s">
        <v>254</v>
      </c>
      <c r="C145" s="6"/>
      <c r="D145" s="6"/>
      <c r="E145" s="6"/>
    </row>
    <row r="146" spans="1:12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12" ht="15.75" thickBot="1" x14ac:dyDescent="0.3">
      <c r="A147" s="12" t="s">
        <v>257</v>
      </c>
      <c r="B147" s="26" t="s">
        <v>258</v>
      </c>
      <c r="C147" s="6">
        <v>993</v>
      </c>
      <c r="D147" s="6">
        <v>743</v>
      </c>
      <c r="E147" s="6">
        <v>250</v>
      </c>
    </row>
    <row r="148" spans="1:12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12" ht="15.75" thickBot="1" x14ac:dyDescent="0.3">
      <c r="A149" s="12" t="s">
        <v>261</v>
      </c>
      <c r="B149" s="26" t="s">
        <v>262</v>
      </c>
      <c r="C149" s="6">
        <v>5408</v>
      </c>
      <c r="D149" s="6">
        <v>3588</v>
      </c>
      <c r="E149" s="6">
        <v>1820</v>
      </c>
    </row>
    <row r="150" spans="1:12" ht="24.75" thickBot="1" x14ac:dyDescent="0.3">
      <c r="A150" s="7" t="s">
        <v>263</v>
      </c>
      <c r="B150" s="23" t="s">
        <v>264</v>
      </c>
      <c r="C150" s="11">
        <f>C152+C154</f>
        <v>4862</v>
      </c>
      <c r="D150" s="11">
        <f t="shared" ref="D150:E150" si="7">D152+D154</f>
        <v>3948</v>
      </c>
      <c r="E150" s="11">
        <f t="shared" si="7"/>
        <v>914</v>
      </c>
      <c r="G150">
        <v>2445</v>
      </c>
      <c r="L150">
        <v>4059</v>
      </c>
    </row>
    <row r="151" spans="1:12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12" ht="15.75" thickBot="1" x14ac:dyDescent="0.3">
      <c r="A152" s="12" t="s">
        <v>266</v>
      </c>
      <c r="B152" s="26" t="s">
        <v>244</v>
      </c>
      <c r="C152" s="6">
        <v>847</v>
      </c>
      <c r="D152" s="6">
        <v>673</v>
      </c>
      <c r="E152" s="6">
        <v>174</v>
      </c>
    </row>
    <row r="153" spans="1:12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12" ht="15.75" thickBot="1" x14ac:dyDescent="0.3">
      <c r="A154" s="12" t="s">
        <v>268</v>
      </c>
      <c r="B154" s="26" t="s">
        <v>248</v>
      </c>
      <c r="C154" s="6">
        <v>4015</v>
      </c>
      <c r="D154" s="6">
        <f>1890+325+640+100+170+100+50</f>
        <v>3275</v>
      </c>
      <c r="E154" s="6">
        <f>410+50+160+100+20</f>
        <v>740</v>
      </c>
    </row>
    <row r="155" spans="1:12" ht="36.75" thickBot="1" x14ac:dyDescent="0.3">
      <c r="A155" s="7" t="s">
        <v>269</v>
      </c>
      <c r="B155" s="23" t="s">
        <v>270</v>
      </c>
      <c r="C155" s="11">
        <f>C156+C157</f>
        <v>70</v>
      </c>
      <c r="D155" s="11">
        <f t="shared" ref="D155:E155" si="8">D156+D157</f>
        <v>41</v>
      </c>
      <c r="E155" s="11">
        <f t="shared" si="8"/>
        <v>29</v>
      </c>
      <c r="F155" s="58"/>
      <c r="G155" s="58"/>
      <c r="H155" s="54"/>
    </row>
    <row r="156" spans="1:12" ht="15.75" thickBot="1" x14ac:dyDescent="0.3">
      <c r="A156" s="44" t="s">
        <v>271</v>
      </c>
      <c r="B156" s="24" t="s">
        <v>198</v>
      </c>
      <c r="C156" s="6">
        <v>45</v>
      </c>
      <c r="D156" s="6">
        <f>18+5+5</f>
        <v>28</v>
      </c>
      <c r="E156" s="6">
        <f>1+3+10+3</f>
        <v>17</v>
      </c>
    </row>
    <row r="157" spans="1:12" ht="24.75" thickBot="1" x14ac:dyDescent="0.3">
      <c r="A157" s="44" t="s">
        <v>272</v>
      </c>
      <c r="B157" s="24" t="s">
        <v>253</v>
      </c>
      <c r="C157" s="6">
        <v>25</v>
      </c>
      <c r="D157" s="6">
        <f>12+1</f>
        <v>13</v>
      </c>
      <c r="E157" s="6">
        <f>5+3+3+1</f>
        <v>12</v>
      </c>
    </row>
    <row r="158" spans="1:12" ht="15.75" thickBot="1" x14ac:dyDescent="0.3">
      <c r="A158" s="44" t="s">
        <v>273</v>
      </c>
      <c r="B158" s="24" t="s">
        <v>274</v>
      </c>
      <c r="C158" s="16">
        <v>26</v>
      </c>
      <c r="D158" s="16">
        <f>13+2</f>
        <v>15</v>
      </c>
      <c r="E158" s="16">
        <f>7+4</f>
        <v>11</v>
      </c>
    </row>
    <row r="159" spans="1:12" ht="15.75" thickBot="1" x14ac:dyDescent="0.3">
      <c r="A159" s="44" t="s">
        <v>275</v>
      </c>
      <c r="B159" s="24" t="s">
        <v>276</v>
      </c>
      <c r="C159" s="16">
        <v>44</v>
      </c>
      <c r="D159" s="16">
        <f>22+4</f>
        <v>26</v>
      </c>
      <c r="E159" s="16">
        <f>12+6</f>
        <v>18</v>
      </c>
    </row>
    <row r="160" spans="1:12" ht="15.75" thickBot="1" x14ac:dyDescent="0.3">
      <c r="A160" s="44" t="s">
        <v>277</v>
      </c>
      <c r="B160" s="24" t="s">
        <v>278</v>
      </c>
      <c r="C160" s="16">
        <v>0</v>
      </c>
      <c r="D160" s="16">
        <v>0</v>
      </c>
      <c r="E160" s="16">
        <v>0</v>
      </c>
    </row>
    <row r="161" spans="1:10" ht="15.75" thickBot="1" x14ac:dyDescent="0.3">
      <c r="A161" s="44"/>
      <c r="B161" s="30" t="s">
        <v>279</v>
      </c>
      <c r="C161" s="6"/>
      <c r="D161" s="6"/>
      <c r="E161" s="6"/>
    </row>
    <row r="162" spans="1:10" ht="15.75" thickBot="1" x14ac:dyDescent="0.3">
      <c r="A162" s="44" t="s">
        <v>280</v>
      </c>
      <c r="B162" s="24" t="s">
        <v>281</v>
      </c>
      <c r="C162" s="6">
        <v>55</v>
      </c>
      <c r="D162" s="6">
        <v>36</v>
      </c>
      <c r="E162" s="6">
        <v>19</v>
      </c>
    </row>
    <row r="163" spans="1:10" ht="15.75" thickBot="1" x14ac:dyDescent="0.3">
      <c r="A163" s="44" t="s">
        <v>282</v>
      </c>
      <c r="B163" s="24" t="s">
        <v>283</v>
      </c>
      <c r="C163" s="6">
        <v>15</v>
      </c>
      <c r="D163" s="6">
        <v>5</v>
      </c>
      <c r="E163" s="6">
        <v>10</v>
      </c>
      <c r="J163" s="54"/>
    </row>
    <row r="164" spans="1:10" ht="24.75" thickBot="1" x14ac:dyDescent="0.3">
      <c r="A164" s="7" t="s">
        <v>284</v>
      </c>
      <c r="B164" s="23" t="s">
        <v>285</v>
      </c>
      <c r="C164" s="11">
        <v>42</v>
      </c>
      <c r="D164" s="11">
        <v>24</v>
      </c>
      <c r="E164" s="11">
        <v>18</v>
      </c>
    </row>
    <row r="165" spans="1:10" ht="24.75" thickBot="1" x14ac:dyDescent="0.3">
      <c r="A165" s="12" t="s">
        <v>286</v>
      </c>
      <c r="B165" s="26" t="s">
        <v>287</v>
      </c>
      <c r="C165" s="6">
        <v>21</v>
      </c>
      <c r="D165" s="6">
        <v>15</v>
      </c>
      <c r="E165" s="6">
        <v>6</v>
      </c>
    </row>
    <row r="166" spans="1:10" ht="24.75" thickBot="1" x14ac:dyDescent="0.3">
      <c r="A166" s="7" t="s">
        <v>288</v>
      </c>
      <c r="B166" s="23" t="s">
        <v>289</v>
      </c>
      <c r="C166" s="11">
        <v>14</v>
      </c>
      <c r="D166" s="11">
        <f>1+2+1+1+1+1+1+1</f>
        <v>9</v>
      </c>
      <c r="E166" s="11">
        <f>1+1+1+1+1</f>
        <v>5</v>
      </c>
    </row>
    <row r="167" spans="1:10" ht="24.75" thickBot="1" x14ac:dyDescent="0.3">
      <c r="A167" s="12" t="s">
        <v>291</v>
      </c>
      <c r="B167" s="26" t="s">
        <v>502</v>
      </c>
      <c r="C167" s="6">
        <v>12</v>
      </c>
      <c r="D167" s="6">
        <v>7</v>
      </c>
      <c r="E167" s="6">
        <v>5</v>
      </c>
    </row>
    <row r="168" spans="1:10" ht="24.75" thickBot="1" x14ac:dyDescent="0.3">
      <c r="A168" s="7" t="s">
        <v>293</v>
      </c>
      <c r="B168" s="23" t="s">
        <v>294</v>
      </c>
      <c r="C168" s="11"/>
      <c r="D168" s="11"/>
      <c r="E168" s="11"/>
    </row>
    <row r="169" spans="1:10" ht="15.75" thickBot="1" x14ac:dyDescent="0.3">
      <c r="A169" s="12" t="s">
        <v>295</v>
      </c>
      <c r="B169" s="26" t="s">
        <v>296</v>
      </c>
      <c r="C169" s="6"/>
      <c r="D169" s="6"/>
      <c r="E169" s="6"/>
    </row>
    <row r="170" spans="1:10" ht="15.75" thickBot="1" x14ac:dyDescent="0.3">
      <c r="A170" s="12" t="s">
        <v>297</v>
      </c>
      <c r="B170" s="26" t="s">
        <v>298</v>
      </c>
      <c r="C170" s="6"/>
      <c r="D170" s="6"/>
      <c r="E170" s="6"/>
    </row>
    <row r="171" spans="1:10" ht="24.75" thickBot="1" x14ac:dyDescent="0.3">
      <c r="A171" s="12" t="s">
        <v>299</v>
      </c>
      <c r="B171" s="26" t="s">
        <v>300</v>
      </c>
      <c r="C171" s="6"/>
      <c r="D171" s="6"/>
      <c r="E171" s="6"/>
    </row>
    <row r="172" spans="1:10" ht="24.75" thickBot="1" x14ac:dyDescent="0.3">
      <c r="A172" s="7" t="s">
        <v>301</v>
      </c>
      <c r="B172" s="23" t="s">
        <v>302</v>
      </c>
      <c r="C172" s="11"/>
      <c r="D172" s="11"/>
      <c r="E172" s="11"/>
    </row>
    <row r="173" spans="1:10" ht="24.75" thickBot="1" x14ac:dyDescent="0.3">
      <c r="A173" s="44" t="s">
        <v>303</v>
      </c>
      <c r="B173" s="24" t="s">
        <v>304</v>
      </c>
      <c r="C173" s="17"/>
      <c r="D173" s="17"/>
      <c r="E173" s="17"/>
    </row>
    <row r="174" spans="1:10" ht="24.75" thickBot="1" x14ac:dyDescent="0.3">
      <c r="A174" s="7" t="s">
        <v>305</v>
      </c>
      <c r="B174" s="23" t="s">
        <v>306</v>
      </c>
      <c r="C174" s="11"/>
      <c r="D174" s="11"/>
      <c r="E174" s="11"/>
    </row>
    <row r="175" spans="1:10" ht="36.75" thickBot="1" x14ac:dyDescent="0.3">
      <c r="A175" s="7" t="s">
        <v>307</v>
      </c>
      <c r="B175" s="23" t="s">
        <v>308</v>
      </c>
      <c r="C175" s="11">
        <v>1</v>
      </c>
      <c r="D175" s="11">
        <v>1</v>
      </c>
      <c r="E175" s="11">
        <v>0</v>
      </c>
    </row>
    <row r="176" spans="1:10" ht="36.75" thickBot="1" x14ac:dyDescent="0.3">
      <c r="A176" s="12" t="s">
        <v>309</v>
      </c>
      <c r="B176" s="26" t="s">
        <v>310</v>
      </c>
      <c r="C176" s="6">
        <v>0</v>
      </c>
      <c r="D176" s="6">
        <v>0</v>
      </c>
      <c r="E176" s="6">
        <v>0</v>
      </c>
    </row>
    <row r="177" spans="1:5" ht="48.75" thickBot="1" x14ac:dyDescent="0.3">
      <c r="A177" s="7" t="s">
        <v>311</v>
      </c>
      <c r="B177" s="23" t="s">
        <v>312</v>
      </c>
      <c r="C177" s="11"/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/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>
        <v>0</v>
      </c>
      <c r="D179" s="6">
        <v>0</v>
      </c>
      <c r="E179" s="6">
        <v>0</v>
      </c>
    </row>
    <row r="180" spans="1:5" ht="24.75" thickBot="1" x14ac:dyDescent="0.3">
      <c r="A180" s="7" t="s">
        <v>317</v>
      </c>
      <c r="B180" s="23" t="s">
        <v>318</v>
      </c>
      <c r="C180" s="11">
        <v>3</v>
      </c>
      <c r="D180" s="11" t="s">
        <v>290</v>
      </c>
      <c r="E180" s="11" t="s">
        <v>290</v>
      </c>
    </row>
    <row r="181" spans="1:5" ht="15.75" thickBot="1" x14ac:dyDescent="0.3">
      <c r="A181" s="12" t="s">
        <v>319</v>
      </c>
      <c r="B181" s="26" t="s">
        <v>320</v>
      </c>
      <c r="C181" s="6">
        <v>3</v>
      </c>
      <c r="D181" s="6" t="s">
        <v>290</v>
      </c>
      <c r="E181" s="6" t="s">
        <v>290</v>
      </c>
    </row>
    <row r="182" spans="1:5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</row>
    <row r="183" spans="1:5" ht="24.75" thickBot="1" x14ac:dyDescent="0.3">
      <c r="A183" s="18" t="s">
        <v>323</v>
      </c>
      <c r="B183" s="23" t="s">
        <v>324</v>
      </c>
      <c r="C183" s="11">
        <v>3</v>
      </c>
      <c r="D183" s="11">
        <v>2</v>
      </c>
      <c r="E183" s="11">
        <v>1</v>
      </c>
    </row>
    <row r="184" spans="1:5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</row>
    <row r="185" spans="1:5" ht="36.75" thickBot="1" x14ac:dyDescent="0.3">
      <c r="A185" s="18" t="s">
        <v>327</v>
      </c>
      <c r="B185" s="23" t="s">
        <v>328</v>
      </c>
      <c r="C185" s="11">
        <f>SUM(C186:C198)+C215</f>
        <v>31</v>
      </c>
      <c r="D185" s="11">
        <f>SUM(D186:D198)+D215</f>
        <v>19</v>
      </c>
      <c r="E185" s="11">
        <f>SUM(E186:E198)+E215</f>
        <v>12</v>
      </c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29</v>
      </c>
      <c r="D198" s="6">
        <f t="shared" ref="D198:E198" si="9">SUM(D199:D209)</f>
        <v>19</v>
      </c>
      <c r="E198" s="6">
        <f t="shared" si="9"/>
        <v>10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>
        <v>1</v>
      </c>
      <c r="D200" s="6"/>
      <c r="E200" s="6">
        <v>1</v>
      </c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>
        <f>3</f>
        <v>3</v>
      </c>
      <c r="D204" s="6">
        <f>3</f>
        <v>3</v>
      </c>
      <c r="E204" s="6"/>
    </row>
    <row r="205" spans="1:5" ht="24.75" thickBot="1" x14ac:dyDescent="0.3">
      <c r="A205" s="12" t="s">
        <v>367</v>
      </c>
      <c r="B205" s="26" t="s">
        <v>368</v>
      </c>
      <c r="C205" s="6"/>
      <c r="D205" s="6"/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>
        <v>25</v>
      </c>
      <c r="D209" s="6">
        <v>16</v>
      </c>
      <c r="E209" s="6">
        <v>9</v>
      </c>
    </row>
    <row r="210" spans="1:6" ht="36.75" thickBot="1" x14ac:dyDescent="0.3">
      <c r="A210" s="12" t="s">
        <v>377</v>
      </c>
      <c r="B210" s="26" t="s">
        <v>378</v>
      </c>
      <c r="C210" s="6">
        <v>25</v>
      </c>
      <c r="D210" s="6">
        <v>16</v>
      </c>
      <c r="E210" s="6">
        <v>9</v>
      </c>
    </row>
    <row r="211" spans="1:6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>
        <v>2</v>
      </c>
      <c r="D215" s="6"/>
      <c r="E215" s="6">
        <v>2</v>
      </c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42"/>
      <c r="D218" s="42"/>
      <c r="E218" s="42"/>
      <c r="F218" s="52"/>
    </row>
    <row r="219" spans="1:6" ht="36.75" thickBot="1" x14ac:dyDescent="0.3">
      <c r="A219" s="7" t="s">
        <v>395</v>
      </c>
      <c r="B219" s="23" t="s">
        <v>396</v>
      </c>
      <c r="C219" s="11">
        <f>SUM(C220:C232)+C249</f>
        <v>13</v>
      </c>
      <c r="D219" s="11">
        <f t="shared" ref="D219:E219" si="10">SUM(D220:D232)+D249</f>
        <v>7</v>
      </c>
      <c r="E219" s="11">
        <f t="shared" si="10"/>
        <v>6</v>
      </c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/>
      <c r="D228" s="6"/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>
        <f>SUM(C233:C243)</f>
        <v>11</v>
      </c>
      <c r="D232" s="6">
        <f t="shared" ref="D232:E232" si="11">SUM(D233:D243)</f>
        <v>5</v>
      </c>
      <c r="E232" s="6">
        <f t="shared" si="11"/>
        <v>6</v>
      </c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>
        <v>11</v>
      </c>
      <c r="D243" s="6">
        <v>5</v>
      </c>
      <c r="E243" s="6">
        <v>6</v>
      </c>
    </row>
    <row r="244" spans="1:5" ht="36.75" thickBot="1" x14ac:dyDescent="0.3">
      <c r="A244" s="12" t="s">
        <v>445</v>
      </c>
      <c r="B244" s="26" t="s">
        <v>446</v>
      </c>
      <c r="C244" s="6">
        <v>11</v>
      </c>
      <c r="D244" s="6">
        <v>5</v>
      </c>
      <c r="E244" s="6">
        <v>6</v>
      </c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>
        <v>2</v>
      </c>
      <c r="D249" s="6">
        <v>2</v>
      </c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>
        <v>0</v>
      </c>
      <c r="D252" s="11">
        <v>0</v>
      </c>
      <c r="E252" s="11">
        <v>0</v>
      </c>
    </row>
    <row r="253" spans="1:5" ht="48.75" thickBot="1" x14ac:dyDescent="0.3">
      <c r="A253" s="7" t="s">
        <v>462</v>
      </c>
      <c r="B253" s="23" t="s">
        <v>463</v>
      </c>
      <c r="C253" s="11">
        <v>0</v>
      </c>
      <c r="D253" s="11">
        <v>0</v>
      </c>
      <c r="E253" s="11">
        <v>0</v>
      </c>
    </row>
    <row r="254" spans="1:5" ht="24.75" thickBot="1" x14ac:dyDescent="0.3">
      <c r="A254" s="7" t="s">
        <v>464</v>
      </c>
      <c r="B254" s="23" t="s">
        <v>465</v>
      </c>
      <c r="C254" s="11">
        <v>0</v>
      </c>
      <c r="D254" s="11">
        <v>0</v>
      </c>
      <c r="E254" s="11">
        <v>0</v>
      </c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>
        <v>0</v>
      </c>
      <c r="D256" s="6">
        <v>0</v>
      </c>
      <c r="E256" s="6">
        <v>0</v>
      </c>
    </row>
    <row r="257" spans="1:5" ht="15.75" thickBot="1" x14ac:dyDescent="0.3">
      <c r="A257" s="10"/>
      <c r="B257" s="26" t="s">
        <v>470</v>
      </c>
      <c r="C257" s="6"/>
      <c r="D257" s="6"/>
      <c r="E257" s="6"/>
    </row>
    <row r="258" spans="1:5" ht="15.75" thickBot="1" x14ac:dyDescent="0.3">
      <c r="A258" s="10" t="s">
        <v>471</v>
      </c>
      <c r="B258" s="26" t="s">
        <v>472</v>
      </c>
      <c r="C258" s="6">
        <v>0</v>
      </c>
      <c r="D258" s="6">
        <v>0</v>
      </c>
      <c r="E258" s="6">
        <v>0</v>
      </c>
    </row>
    <row r="259" spans="1:5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5" ht="15.75" thickBot="1" x14ac:dyDescent="0.3">
      <c r="A260" s="10" t="s">
        <v>475</v>
      </c>
      <c r="B260" s="26" t="s">
        <v>476</v>
      </c>
      <c r="C260" s="6">
        <v>0</v>
      </c>
      <c r="D260" s="6">
        <v>0</v>
      </c>
      <c r="E260" s="6">
        <v>0</v>
      </c>
    </row>
    <row r="261" spans="1:5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5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5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5" ht="15.75" thickBot="1" x14ac:dyDescent="0.3">
      <c r="A264" s="10"/>
      <c r="B264" s="26" t="s">
        <v>470</v>
      </c>
      <c r="C264" s="6"/>
      <c r="D264" s="6"/>
      <c r="E264" s="6"/>
    </row>
    <row r="265" spans="1:5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5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5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5" ht="24" customHeight="1" x14ac:dyDescent="0.25">
      <c r="A268" s="82"/>
      <c r="B268" s="82"/>
      <c r="C268" s="82"/>
      <c r="D268" s="82"/>
      <c r="E268" s="82"/>
    </row>
    <row r="269" spans="1:5" ht="15" customHeight="1" x14ac:dyDescent="0.25">
      <c r="A269" s="19"/>
      <c r="B269" s="76"/>
      <c r="C269" s="76"/>
      <c r="D269" s="76"/>
      <c r="E269" s="76"/>
    </row>
    <row r="270" spans="1:5" ht="15" customHeight="1" x14ac:dyDescent="0.25">
      <c r="A270" s="86" t="s">
        <v>487</v>
      </c>
      <c r="B270" s="86"/>
      <c r="C270" s="86"/>
      <c r="D270" s="86"/>
      <c r="E270" s="86"/>
    </row>
    <row r="271" spans="1:5" ht="46.5" customHeight="1" x14ac:dyDescent="0.25">
      <c r="A271" s="85" t="s">
        <v>488</v>
      </c>
      <c r="B271" s="85"/>
      <c r="C271" s="85"/>
      <c r="D271" s="85"/>
      <c r="E271" s="85"/>
    </row>
    <row r="272" spans="1:5" ht="24" customHeight="1" x14ac:dyDescent="0.25">
      <c r="A272" s="85" t="s">
        <v>498</v>
      </c>
      <c r="B272" s="85"/>
      <c r="C272" s="85"/>
      <c r="D272" s="85"/>
      <c r="E272" s="85"/>
    </row>
    <row r="273" spans="1:5" ht="30.75" customHeight="1" x14ac:dyDescent="0.25">
      <c r="A273" s="85" t="s">
        <v>499</v>
      </c>
      <c r="B273" s="85"/>
      <c r="C273" s="85"/>
      <c r="D273" s="85"/>
      <c r="E273" s="85"/>
    </row>
    <row r="274" spans="1:5" ht="70.5" customHeight="1" x14ac:dyDescent="0.25">
      <c r="A274" s="85" t="s">
        <v>489</v>
      </c>
      <c r="B274" s="85"/>
      <c r="C274" s="85"/>
      <c r="D274" s="85"/>
      <c r="E274" s="85"/>
    </row>
    <row r="275" spans="1:5" ht="39.75" customHeight="1" x14ac:dyDescent="0.25">
      <c r="A275" s="85" t="s">
        <v>490</v>
      </c>
      <c r="B275" s="85"/>
      <c r="C275" s="85"/>
      <c r="D275" s="85"/>
      <c r="E275" s="85"/>
    </row>
    <row r="276" spans="1:5" ht="15.75" x14ac:dyDescent="0.25">
      <c r="A276" s="20"/>
    </row>
  </sheetData>
  <mergeCells count="19">
    <mergeCell ref="A7:A8"/>
    <mergeCell ref="A5:B5"/>
    <mergeCell ref="A4:E4"/>
    <mergeCell ref="A1:E1"/>
    <mergeCell ref="A3:E3"/>
    <mergeCell ref="D7:E7"/>
    <mergeCell ref="C7:C8"/>
    <mergeCell ref="A275:E275"/>
    <mergeCell ref="A106:A107"/>
    <mergeCell ref="C106:C107"/>
    <mergeCell ref="D106:D107"/>
    <mergeCell ref="E106:E107"/>
    <mergeCell ref="A268:E268"/>
    <mergeCell ref="B269:E269"/>
    <mergeCell ref="A270:E270"/>
    <mergeCell ref="A271:E271"/>
    <mergeCell ref="A272:E272"/>
    <mergeCell ref="A273:E273"/>
    <mergeCell ref="A274:E27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"/>
  <sheetViews>
    <sheetView zoomScaleNormal="100" zoomScaleSheetLayoutView="100" workbookViewId="0">
      <pane ySplit="3210" topLeftCell="A265" activePane="bottomLeft"/>
      <selection pane="bottomLeft" activeCell="A268" sqref="A268:E269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8.7109375" style="38" customWidth="1"/>
    <col min="6" max="8" width="9.140625" customWidth="1"/>
  </cols>
  <sheetData>
    <row r="1" spans="1:8" ht="15.75" x14ac:dyDescent="0.25">
      <c r="A1" s="66" t="s">
        <v>0</v>
      </c>
      <c r="B1" s="66"/>
      <c r="C1" s="66"/>
      <c r="D1" s="66"/>
      <c r="E1" s="66"/>
    </row>
    <row r="2" spans="1:8" ht="15.75" x14ac:dyDescent="0.25">
      <c r="A2" s="47"/>
    </row>
    <row r="3" spans="1:8" ht="31.5" customHeight="1" x14ac:dyDescent="0.25">
      <c r="A3" s="67" t="s">
        <v>1</v>
      </c>
      <c r="B3" s="67"/>
      <c r="C3" s="67"/>
      <c r="D3" s="67"/>
      <c r="E3" s="67"/>
    </row>
    <row r="4" spans="1:8" ht="15.75" x14ac:dyDescent="0.25">
      <c r="A4" s="87" t="s">
        <v>506</v>
      </c>
      <c r="B4" s="68"/>
      <c r="C4" s="68"/>
      <c r="D4" s="68"/>
      <c r="E4" s="68"/>
    </row>
    <row r="5" spans="1:8" ht="18.75" x14ac:dyDescent="0.25">
      <c r="A5" s="69" t="s">
        <v>2</v>
      </c>
      <c r="B5" s="69"/>
      <c r="C5" s="48" t="s">
        <v>3</v>
      </c>
    </row>
    <row r="6" spans="1:8" ht="16.5" customHeight="1" thickBot="1" x14ac:dyDescent="0.3">
      <c r="A6" s="47"/>
    </row>
    <row r="7" spans="1:8" ht="15.75" customHeight="1" thickBot="1" x14ac:dyDescent="0.3">
      <c r="A7" s="70" t="s">
        <v>4</v>
      </c>
      <c r="B7" s="3" t="s">
        <v>5</v>
      </c>
      <c r="C7" s="72" t="s">
        <v>6</v>
      </c>
      <c r="D7" s="74" t="s">
        <v>7</v>
      </c>
      <c r="E7" s="75"/>
    </row>
    <row r="8" spans="1:8" ht="15.75" customHeight="1" thickBot="1" x14ac:dyDescent="0.3">
      <c r="A8" s="71"/>
      <c r="B8" s="4" t="s">
        <v>5</v>
      </c>
      <c r="C8" s="73"/>
      <c r="D8" s="4" t="s">
        <v>8</v>
      </c>
      <c r="E8" s="4" t="s">
        <v>9</v>
      </c>
    </row>
    <row r="9" spans="1:8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8" ht="15.75" customHeight="1" thickBot="1" x14ac:dyDescent="0.3">
      <c r="A10" s="7" t="s">
        <v>500</v>
      </c>
      <c r="B10" s="23" t="s">
        <v>11</v>
      </c>
      <c r="C10" s="11">
        <f>D10+E10</f>
        <v>38</v>
      </c>
      <c r="D10" s="11">
        <v>32</v>
      </c>
      <c r="E10" s="11">
        <v>6</v>
      </c>
      <c r="G10">
        <f>C10</f>
        <v>38</v>
      </c>
      <c r="H10">
        <f>C25+C30</f>
        <v>38</v>
      </c>
    </row>
    <row r="11" spans="1:8" ht="15.75" thickBot="1" x14ac:dyDescent="0.3">
      <c r="A11" s="8" t="s">
        <v>12</v>
      </c>
      <c r="B11" s="24" t="s">
        <v>13</v>
      </c>
      <c r="C11" s="9">
        <f>15</f>
        <v>15</v>
      </c>
      <c r="D11" s="9">
        <f>2+1+6</f>
        <v>9</v>
      </c>
      <c r="E11" s="9">
        <f>6</f>
        <v>6</v>
      </c>
      <c r="G11">
        <f>C11</f>
        <v>15</v>
      </c>
      <c r="H11">
        <f>C26+C31</f>
        <v>15</v>
      </c>
    </row>
    <row r="12" spans="1:8" ht="24.75" thickBot="1" x14ac:dyDescent="0.3">
      <c r="A12" s="10" t="s">
        <v>14</v>
      </c>
      <c r="B12" s="25" t="s">
        <v>501</v>
      </c>
      <c r="C12" s="6">
        <f>C13+C14+C15+C16+C17+C18+C19+C20+C21</f>
        <v>23</v>
      </c>
      <c r="D12" s="6">
        <f t="shared" ref="D12:E12" si="0">D13+D14+D15+D16+D17+D18+D19+D20+D21</f>
        <v>23</v>
      </c>
      <c r="E12" s="6">
        <f t="shared" si="0"/>
        <v>0</v>
      </c>
    </row>
    <row r="13" spans="1:8" ht="24.75" thickBot="1" x14ac:dyDescent="0.3">
      <c r="A13" s="8" t="s">
        <v>16</v>
      </c>
      <c r="B13" s="24" t="s">
        <v>17</v>
      </c>
      <c r="C13" s="9"/>
      <c r="D13" s="9"/>
      <c r="E13" s="9"/>
    </row>
    <row r="14" spans="1:8" ht="24.75" thickBot="1" x14ac:dyDescent="0.3">
      <c r="A14" s="8" t="s">
        <v>18</v>
      </c>
      <c r="B14" s="24" t="s">
        <v>19</v>
      </c>
      <c r="C14" s="9"/>
      <c r="D14" s="9"/>
      <c r="E14" s="9"/>
    </row>
    <row r="15" spans="1:8" ht="24.75" thickBot="1" x14ac:dyDescent="0.3">
      <c r="A15" s="8" t="s">
        <v>20</v>
      </c>
      <c r="B15" s="24" t="s">
        <v>21</v>
      </c>
      <c r="C15" s="9"/>
      <c r="D15" s="9"/>
      <c r="E15" s="9"/>
    </row>
    <row r="16" spans="1:8" ht="24.75" thickBot="1" x14ac:dyDescent="0.3">
      <c r="A16" s="8" t="s">
        <v>22</v>
      </c>
      <c r="B16" s="24" t="s">
        <v>23</v>
      </c>
      <c r="C16" s="9">
        <f>8+1+2</f>
        <v>11</v>
      </c>
      <c r="D16" s="9">
        <f>8+1+2</f>
        <v>11</v>
      </c>
      <c r="E16" s="9">
        <v>0</v>
      </c>
    </row>
    <row r="17" spans="1:8" ht="24.75" thickBot="1" x14ac:dyDescent="0.3">
      <c r="A17" s="8" t="s">
        <v>24</v>
      </c>
      <c r="B17" s="24" t="s">
        <v>25</v>
      </c>
      <c r="C17" s="9">
        <f>5+5+2</f>
        <v>12</v>
      </c>
      <c r="D17" s="9">
        <f>5+5+2</f>
        <v>12</v>
      </c>
      <c r="E17" s="9">
        <v>0</v>
      </c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491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>
        <f>C23+C24</f>
        <v>0</v>
      </c>
      <c r="D22" s="9">
        <v>0</v>
      </c>
      <c r="E22" s="9">
        <v>0</v>
      </c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>
        <f>C26+C27</f>
        <v>21</v>
      </c>
      <c r="D25" s="11">
        <f t="shared" ref="D25:E25" si="1">D26+D27</f>
        <v>20</v>
      </c>
      <c r="E25" s="11">
        <f t="shared" si="1"/>
        <v>1</v>
      </c>
      <c r="G25">
        <f>C25</f>
        <v>21</v>
      </c>
      <c r="H25">
        <f>C26+C27</f>
        <v>21</v>
      </c>
    </row>
    <row r="26" spans="1:8" ht="15.75" thickBot="1" x14ac:dyDescent="0.3">
      <c r="A26" s="10" t="s">
        <v>41</v>
      </c>
      <c r="B26" s="26" t="s">
        <v>42</v>
      </c>
      <c r="C26" s="6">
        <v>5</v>
      </c>
      <c r="D26" s="6">
        <f>1+3</f>
        <v>4</v>
      </c>
      <c r="E26" s="6">
        <f>1</f>
        <v>1</v>
      </c>
    </row>
    <row r="27" spans="1:8" ht="24.75" thickBot="1" x14ac:dyDescent="0.3">
      <c r="A27" s="10" t="s">
        <v>43</v>
      </c>
      <c r="B27" s="26" t="s">
        <v>44</v>
      </c>
      <c r="C27" s="6">
        <f>4+3+1+4+2+2</f>
        <v>16</v>
      </c>
      <c r="D27" s="6">
        <v>16</v>
      </c>
      <c r="E27" s="6">
        <v>0</v>
      </c>
    </row>
    <row r="28" spans="1:8" ht="36.75" thickBot="1" x14ac:dyDescent="0.3">
      <c r="A28" s="10" t="s">
        <v>45</v>
      </c>
      <c r="B28" s="26" t="s">
        <v>46</v>
      </c>
      <c r="C28" s="6">
        <f>2+3+1+2</f>
        <v>8</v>
      </c>
      <c r="D28" s="6">
        <v>8</v>
      </c>
      <c r="E28" s="6"/>
    </row>
    <row r="29" spans="1:8" ht="15.75" thickBot="1" x14ac:dyDescent="0.3">
      <c r="A29" s="10" t="s">
        <v>47</v>
      </c>
      <c r="B29" s="26" t="s">
        <v>48</v>
      </c>
      <c r="C29" s="6">
        <f>2+4+2</f>
        <v>8</v>
      </c>
      <c r="D29" s="6">
        <f>2+4+2</f>
        <v>8</v>
      </c>
      <c r="E29" s="6"/>
    </row>
    <row r="30" spans="1:8" ht="24.75" thickBot="1" x14ac:dyDescent="0.3">
      <c r="A30" s="7" t="s">
        <v>49</v>
      </c>
      <c r="B30" s="23" t="s">
        <v>50</v>
      </c>
      <c r="C30" s="11">
        <f>C31+C32</f>
        <v>17</v>
      </c>
      <c r="D30" s="11">
        <f t="shared" ref="D30:E30" si="2">D31+D32</f>
        <v>12</v>
      </c>
      <c r="E30" s="11">
        <f t="shared" si="2"/>
        <v>5</v>
      </c>
      <c r="G30">
        <f>C30</f>
        <v>17</v>
      </c>
      <c r="H30">
        <f>C31+C32</f>
        <v>17</v>
      </c>
    </row>
    <row r="31" spans="1:8" ht="15.75" thickBot="1" x14ac:dyDescent="0.3">
      <c r="A31" s="12" t="s">
        <v>51</v>
      </c>
      <c r="B31" s="26" t="s">
        <v>52</v>
      </c>
      <c r="C31" s="6">
        <v>10</v>
      </c>
      <c r="D31" s="6">
        <f>1+1+3</f>
        <v>5</v>
      </c>
      <c r="E31" s="6">
        <f>5</f>
        <v>5</v>
      </c>
    </row>
    <row r="32" spans="1:8" ht="24.75" thickBot="1" x14ac:dyDescent="0.3">
      <c r="A32" s="12" t="s">
        <v>53</v>
      </c>
      <c r="B32" s="26" t="s">
        <v>54</v>
      </c>
      <c r="C32" s="6">
        <f>1+5+1</f>
        <v>7</v>
      </c>
      <c r="D32" s="6">
        <f>1+5+1</f>
        <v>7</v>
      </c>
      <c r="E32" s="6">
        <v>0</v>
      </c>
    </row>
    <row r="33" spans="1:5" ht="48.75" thickBot="1" x14ac:dyDescent="0.3">
      <c r="A33" s="12" t="s">
        <v>55</v>
      </c>
      <c r="B33" s="26" t="s">
        <v>56</v>
      </c>
      <c r="C33" s="6">
        <v>3</v>
      </c>
      <c r="D33" s="6">
        <v>3</v>
      </c>
      <c r="E33" s="6"/>
    </row>
    <row r="34" spans="1:5" ht="15.75" thickBot="1" x14ac:dyDescent="0.3">
      <c r="A34" s="12" t="s">
        <v>57</v>
      </c>
      <c r="B34" s="26" t="s">
        <v>58</v>
      </c>
      <c r="C34" s="6">
        <f>1+2+1</f>
        <v>4</v>
      </c>
      <c r="D34" s="6">
        <f>1+2+1</f>
        <v>4</v>
      </c>
      <c r="E34" s="6">
        <v>0</v>
      </c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492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>
        <v>0</v>
      </c>
      <c r="E44" s="11">
        <v>0</v>
      </c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/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/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/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24.75" thickBot="1" x14ac:dyDescent="0.3">
      <c r="A57" s="7" t="s">
        <v>102</v>
      </c>
      <c r="B57" s="27" t="s">
        <v>103</v>
      </c>
      <c r="C57" s="49">
        <v>449</v>
      </c>
      <c r="D57" s="49">
        <f>202+100+75</f>
        <v>377</v>
      </c>
      <c r="E57" s="49">
        <v>72</v>
      </c>
    </row>
    <row r="58" spans="1:5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5" ht="48.75" thickBot="1" x14ac:dyDescent="0.3">
      <c r="A59" s="7" t="s">
        <v>106</v>
      </c>
      <c r="B59" s="23" t="s">
        <v>107</v>
      </c>
      <c r="C59" s="11">
        <v>0</v>
      </c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>
        <v>0</v>
      </c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>
        <v>0</v>
      </c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>
        <v>0</v>
      </c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7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7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7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7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7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7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7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7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7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7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7" ht="24.75" thickBot="1" x14ac:dyDescent="0.3">
      <c r="A75" s="7" t="s">
        <v>138</v>
      </c>
      <c r="B75" s="23" t="s">
        <v>139</v>
      </c>
      <c r="C75" s="11">
        <v>13</v>
      </c>
      <c r="D75" s="11">
        <v>11</v>
      </c>
      <c r="E75" s="11">
        <f>2</f>
        <v>2</v>
      </c>
      <c r="G75" t="s">
        <v>510</v>
      </c>
    </row>
    <row r="76" spans="1:7" ht="24.75" thickBot="1" x14ac:dyDescent="0.3">
      <c r="A76" s="10" t="s">
        <v>140</v>
      </c>
      <c r="B76" s="26" t="s">
        <v>141</v>
      </c>
      <c r="C76" s="6">
        <v>1</v>
      </c>
      <c r="D76" s="6">
        <v>1</v>
      </c>
      <c r="E76" s="6">
        <v>0</v>
      </c>
    </row>
    <row r="77" spans="1:7" ht="24.75" thickBot="1" x14ac:dyDescent="0.3">
      <c r="A77" s="7" t="s">
        <v>142</v>
      </c>
      <c r="B77" s="23" t="s">
        <v>143</v>
      </c>
      <c r="C77" s="11">
        <v>0</v>
      </c>
      <c r="D77" s="11"/>
      <c r="E77" s="11"/>
    </row>
    <row r="78" spans="1:7" ht="36.75" thickBot="1" x14ac:dyDescent="0.3">
      <c r="A78" s="10" t="s">
        <v>144</v>
      </c>
      <c r="B78" s="24" t="s">
        <v>145</v>
      </c>
      <c r="C78" s="6">
        <v>0</v>
      </c>
      <c r="D78" s="6"/>
      <c r="E78" s="6"/>
    </row>
    <row r="79" spans="1:7" ht="36.75" thickBot="1" x14ac:dyDescent="0.3">
      <c r="A79" s="7" t="s">
        <v>146</v>
      </c>
      <c r="B79" s="23" t="s">
        <v>147</v>
      </c>
      <c r="C79" s="49">
        <v>1</v>
      </c>
      <c r="D79" s="49">
        <v>1</v>
      </c>
      <c r="E79" s="49"/>
    </row>
    <row r="80" spans="1:7" ht="24.75" thickBot="1" x14ac:dyDescent="0.3">
      <c r="A80" s="8" t="s">
        <v>148</v>
      </c>
      <c r="B80" s="24" t="s">
        <v>149</v>
      </c>
      <c r="C80" s="6">
        <v>1</v>
      </c>
      <c r="D80" s="6">
        <v>1</v>
      </c>
      <c r="E80" s="6"/>
    </row>
    <row r="81" spans="1:8" ht="36.75" thickBot="1" x14ac:dyDescent="0.3">
      <c r="A81" s="8" t="s">
        <v>150</v>
      </c>
      <c r="B81" s="24" t="s">
        <v>151</v>
      </c>
      <c r="C81" s="6">
        <v>0</v>
      </c>
      <c r="D81" s="6"/>
      <c r="E81" s="6"/>
    </row>
    <row r="82" spans="1:8" ht="36.75" thickBot="1" x14ac:dyDescent="0.3">
      <c r="A82" s="8" t="s">
        <v>152</v>
      </c>
      <c r="B82" s="24" t="s">
        <v>153</v>
      </c>
      <c r="C82" s="6">
        <v>1</v>
      </c>
      <c r="D82" s="6">
        <v>1</v>
      </c>
      <c r="E82" s="6"/>
    </row>
    <row r="83" spans="1:8" ht="24.75" thickBot="1" x14ac:dyDescent="0.3">
      <c r="A83" s="8" t="s">
        <v>154</v>
      </c>
      <c r="B83" s="24" t="s">
        <v>155</v>
      </c>
      <c r="C83" s="6">
        <v>0</v>
      </c>
      <c r="D83" s="6"/>
      <c r="E83" s="6"/>
    </row>
    <row r="84" spans="1:8" ht="48.75" thickBot="1" x14ac:dyDescent="0.3">
      <c r="A84" s="15" t="s">
        <v>493</v>
      </c>
      <c r="B84" s="24" t="s">
        <v>156</v>
      </c>
      <c r="C84" s="6">
        <v>0</v>
      </c>
      <c r="D84" s="6">
        <v>0</v>
      </c>
      <c r="E84" s="6"/>
    </row>
    <row r="85" spans="1:8" ht="24.75" thickBot="1" x14ac:dyDescent="0.3">
      <c r="A85" s="7" t="s">
        <v>157</v>
      </c>
      <c r="B85" s="23" t="s">
        <v>158</v>
      </c>
      <c r="C85" s="11">
        <v>306</v>
      </c>
      <c r="D85" s="11">
        <v>265</v>
      </c>
      <c r="E85" s="11">
        <v>41</v>
      </c>
      <c r="G85">
        <f>C85</f>
        <v>306</v>
      </c>
      <c r="H85">
        <f>C88+C91+C94+C97+C100+C103+C106</f>
        <v>306</v>
      </c>
    </row>
    <row r="86" spans="1:8" ht="15.75" thickBot="1" x14ac:dyDescent="0.3">
      <c r="A86" s="12" t="s">
        <v>159</v>
      </c>
      <c r="B86" s="26" t="s">
        <v>13</v>
      </c>
      <c r="C86" s="6">
        <v>125</v>
      </c>
      <c r="D86" s="6">
        <f>66+18</f>
        <v>84</v>
      </c>
      <c r="E86" s="6">
        <f>41</f>
        <v>41</v>
      </c>
      <c r="G86">
        <f>C86</f>
        <v>125</v>
      </c>
      <c r="H86">
        <f>C89+C92+C95+C98+C101+C104+C108</f>
        <v>125</v>
      </c>
    </row>
    <row r="87" spans="1:8" ht="24.75" thickBot="1" x14ac:dyDescent="0.3">
      <c r="A87" s="12" t="s">
        <v>160</v>
      </c>
      <c r="B87" s="26" t="s">
        <v>161</v>
      </c>
      <c r="C87" s="6">
        <v>181</v>
      </c>
      <c r="D87" s="6">
        <f>150+31</f>
        <v>181</v>
      </c>
      <c r="E87" s="6"/>
    </row>
    <row r="88" spans="1:8" ht="15.75" thickBot="1" x14ac:dyDescent="0.3">
      <c r="A88" s="26" t="s">
        <v>162</v>
      </c>
      <c r="B88" s="26" t="s">
        <v>494</v>
      </c>
      <c r="C88" s="41">
        <v>267</v>
      </c>
      <c r="D88" s="41">
        <v>226</v>
      </c>
      <c r="E88" s="41"/>
    </row>
    <row r="89" spans="1:8" ht="15.75" thickBot="1" x14ac:dyDescent="0.3">
      <c r="A89" s="12" t="s">
        <v>164</v>
      </c>
      <c r="B89" s="26" t="s">
        <v>13</v>
      </c>
      <c r="C89" s="6">
        <v>100</v>
      </c>
      <c r="D89" s="6">
        <f>53+6</f>
        <v>59</v>
      </c>
      <c r="E89" s="6">
        <v>41</v>
      </c>
    </row>
    <row r="90" spans="1:8" ht="24.75" thickBot="1" x14ac:dyDescent="0.3">
      <c r="A90" s="12" t="s">
        <v>165</v>
      </c>
      <c r="B90" s="26" t="s">
        <v>166</v>
      </c>
      <c r="C90" s="6">
        <v>167</v>
      </c>
      <c r="D90" s="6">
        <f>136+31</f>
        <v>167</v>
      </c>
      <c r="E90" s="6"/>
    </row>
    <row r="91" spans="1:8" x14ac:dyDescent="0.25">
      <c r="A91" s="22" t="s">
        <v>167</v>
      </c>
      <c r="B91" s="28" t="s">
        <v>495</v>
      </c>
      <c r="C91" s="45">
        <f>3+1</f>
        <v>4</v>
      </c>
      <c r="D91" s="45">
        <f>3+1</f>
        <v>4</v>
      </c>
      <c r="E91" s="45"/>
    </row>
    <row r="92" spans="1:8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8" ht="24.75" thickBot="1" x14ac:dyDescent="0.3">
      <c r="A93" s="44" t="s">
        <v>169</v>
      </c>
      <c r="B93" s="26" t="s">
        <v>166</v>
      </c>
      <c r="C93" s="6">
        <f>3+1</f>
        <v>4</v>
      </c>
      <c r="D93" s="6">
        <f>3+1</f>
        <v>4</v>
      </c>
      <c r="E93" s="6"/>
    </row>
    <row r="94" spans="1:8" x14ac:dyDescent="0.25">
      <c r="A94" s="43" t="s">
        <v>170</v>
      </c>
      <c r="B94" s="29" t="s">
        <v>496</v>
      </c>
      <c r="C94" s="45"/>
      <c r="D94" s="45"/>
      <c r="E94" s="45"/>
    </row>
    <row r="95" spans="1:8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8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44" t="s">
        <v>170</v>
      </c>
      <c r="B97" s="30" t="s">
        <v>173</v>
      </c>
      <c r="C97" s="6">
        <v>10</v>
      </c>
      <c r="D97" s="6">
        <v>10</v>
      </c>
      <c r="E97" s="6"/>
    </row>
    <row r="98" spans="1:5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44" t="s">
        <v>175</v>
      </c>
      <c r="B99" s="26" t="s">
        <v>166</v>
      </c>
      <c r="C99" s="6">
        <v>10</v>
      </c>
      <c r="D99" s="6">
        <v>10</v>
      </c>
      <c r="E99" s="6"/>
    </row>
    <row r="100" spans="1:5" ht="15.75" thickBot="1" x14ac:dyDescent="0.3">
      <c r="A100" s="44" t="s">
        <v>176</v>
      </c>
      <c r="B100" s="30" t="s">
        <v>177</v>
      </c>
      <c r="C100" s="6">
        <v>13</v>
      </c>
      <c r="D100" s="6">
        <f>7+6</f>
        <v>13</v>
      </c>
      <c r="E100" s="6"/>
    </row>
    <row r="101" spans="1:5" ht="15.75" thickBot="1" x14ac:dyDescent="0.3">
      <c r="A101" s="44" t="s">
        <v>178</v>
      </c>
      <c r="B101" s="26" t="s">
        <v>13</v>
      </c>
      <c r="C101" s="6">
        <v>13</v>
      </c>
      <c r="D101" s="6">
        <f>7+6</f>
        <v>13</v>
      </c>
      <c r="E101" s="6"/>
    </row>
    <row r="102" spans="1:5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5" x14ac:dyDescent="0.25">
      <c r="A103" s="43" t="s">
        <v>180</v>
      </c>
      <c r="B103" s="29" t="s">
        <v>497</v>
      </c>
      <c r="C103" s="45"/>
      <c r="D103" s="45"/>
      <c r="E103" s="45"/>
    </row>
    <row r="104" spans="1:5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5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5" x14ac:dyDescent="0.25">
      <c r="A106" s="78" t="s">
        <v>183</v>
      </c>
      <c r="B106" s="29" t="s">
        <v>184</v>
      </c>
      <c r="C106" s="80">
        <v>12</v>
      </c>
      <c r="D106" s="80">
        <f>6+6</f>
        <v>12</v>
      </c>
      <c r="E106" s="80"/>
    </row>
    <row r="107" spans="1:5" ht="15.75" thickBot="1" x14ac:dyDescent="0.3">
      <c r="A107" s="79"/>
      <c r="B107" s="30" t="s">
        <v>163</v>
      </c>
      <c r="C107" s="81"/>
      <c r="D107" s="81"/>
      <c r="E107" s="81"/>
    </row>
    <row r="108" spans="1:5" ht="15.75" thickBot="1" x14ac:dyDescent="0.3">
      <c r="A108" s="44" t="s">
        <v>185</v>
      </c>
      <c r="B108" s="26" t="s">
        <v>13</v>
      </c>
      <c r="C108" s="6">
        <v>12</v>
      </c>
      <c r="D108" s="6">
        <v>12</v>
      </c>
      <c r="E108" s="6"/>
    </row>
    <row r="109" spans="1:5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5" ht="15.75" thickBot="1" x14ac:dyDescent="0.3">
      <c r="A110" s="44" t="s">
        <v>187</v>
      </c>
      <c r="B110" s="24" t="s">
        <v>188</v>
      </c>
      <c r="C110" s="16"/>
      <c r="D110" s="16"/>
      <c r="E110" s="16"/>
    </row>
    <row r="111" spans="1:5" ht="24.75" thickBot="1" x14ac:dyDescent="0.3">
      <c r="A111" s="44" t="s">
        <v>189</v>
      </c>
      <c r="B111" s="24" t="s">
        <v>190</v>
      </c>
      <c r="C111" s="16">
        <v>246</v>
      </c>
      <c r="D111" s="16">
        <f>98+44+45+18</f>
        <v>205</v>
      </c>
      <c r="E111" s="16">
        <f>41</f>
        <v>41</v>
      </c>
    </row>
    <row r="112" spans="1:5" ht="24.75" thickBot="1" x14ac:dyDescent="0.3">
      <c r="A112" s="44" t="s">
        <v>191</v>
      </c>
      <c r="B112" s="24" t="s">
        <v>192</v>
      </c>
      <c r="C112" s="16">
        <v>60</v>
      </c>
      <c r="D112" s="16">
        <v>60</v>
      </c>
      <c r="E112" s="16"/>
    </row>
    <row r="113" spans="1:10" ht="24.75" thickBot="1" x14ac:dyDescent="0.3">
      <c r="A113" s="44" t="s">
        <v>193</v>
      </c>
      <c r="B113" s="24" t="s">
        <v>194</v>
      </c>
      <c r="C113" s="16"/>
      <c r="D113" s="16"/>
      <c r="E113" s="16"/>
    </row>
    <row r="114" spans="1:10" ht="36.75" thickBot="1" x14ac:dyDescent="0.3">
      <c r="A114" s="7" t="s">
        <v>195</v>
      </c>
      <c r="B114" s="23" t="s">
        <v>196</v>
      </c>
      <c r="C114" s="11">
        <v>8</v>
      </c>
      <c r="D114" s="11">
        <v>6</v>
      </c>
      <c r="E114" s="11">
        <f>2</f>
        <v>2</v>
      </c>
    </row>
    <row r="115" spans="1:10" ht="15.75" thickBot="1" x14ac:dyDescent="0.3">
      <c r="A115" s="12" t="s">
        <v>197</v>
      </c>
      <c r="B115" s="26" t="s">
        <v>198</v>
      </c>
      <c r="C115" s="6">
        <v>6</v>
      </c>
      <c r="D115" s="6">
        <f>2+2</f>
        <v>4</v>
      </c>
      <c r="E115" s="6">
        <v>2</v>
      </c>
    </row>
    <row r="116" spans="1:10" ht="24.75" thickBot="1" x14ac:dyDescent="0.3">
      <c r="A116" s="12" t="s">
        <v>199</v>
      </c>
      <c r="B116" s="26" t="s">
        <v>200</v>
      </c>
      <c r="C116" s="6">
        <f>2</f>
        <v>2</v>
      </c>
      <c r="D116" s="6">
        <f>2</f>
        <v>2</v>
      </c>
      <c r="E116" s="6">
        <v>0</v>
      </c>
    </row>
    <row r="117" spans="1:10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10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10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10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10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10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10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10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10" ht="36.75" thickBot="1" x14ac:dyDescent="0.3">
      <c r="A125" s="7" t="s">
        <v>217</v>
      </c>
      <c r="B125" s="23" t="s">
        <v>218</v>
      </c>
      <c r="C125" s="11">
        <v>14</v>
      </c>
      <c r="D125" s="11">
        <v>11</v>
      </c>
      <c r="E125" s="11">
        <v>3</v>
      </c>
      <c r="G125">
        <f>C126+C127</f>
        <v>14</v>
      </c>
      <c r="H125">
        <f>C131+C132</f>
        <v>14</v>
      </c>
      <c r="J125" s="52" t="s">
        <v>510</v>
      </c>
    </row>
    <row r="126" spans="1:10" ht="15.75" thickBot="1" x14ac:dyDescent="0.3">
      <c r="A126" s="12" t="s">
        <v>219</v>
      </c>
      <c r="B126" s="26" t="s">
        <v>198</v>
      </c>
      <c r="C126" s="6">
        <v>8</v>
      </c>
      <c r="D126" s="6">
        <v>5</v>
      </c>
      <c r="E126" s="6">
        <v>3</v>
      </c>
    </row>
    <row r="127" spans="1:10" ht="24.75" thickBot="1" x14ac:dyDescent="0.3">
      <c r="A127" s="12" t="s">
        <v>220</v>
      </c>
      <c r="B127" s="26" t="s">
        <v>221</v>
      </c>
      <c r="C127" s="6">
        <v>6</v>
      </c>
      <c r="D127" s="6">
        <v>6</v>
      </c>
      <c r="E127" s="6"/>
    </row>
    <row r="128" spans="1:10" ht="15.75" thickBot="1" x14ac:dyDescent="0.3">
      <c r="A128" s="12"/>
      <c r="B128" s="31" t="s">
        <v>222</v>
      </c>
      <c r="C128" s="6"/>
      <c r="D128" s="6"/>
      <c r="E128" s="6"/>
    </row>
    <row r="129" spans="1:8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8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8" ht="15.75" thickBot="1" x14ac:dyDescent="0.3">
      <c r="A131" s="12" t="s">
        <v>227</v>
      </c>
      <c r="B131" s="26" t="s">
        <v>228</v>
      </c>
      <c r="C131" s="6">
        <v>2</v>
      </c>
      <c r="D131" s="6">
        <v>2</v>
      </c>
      <c r="E131" s="6"/>
    </row>
    <row r="132" spans="1:8" ht="24.75" thickBot="1" x14ac:dyDescent="0.3">
      <c r="A132" s="10" t="s">
        <v>229</v>
      </c>
      <c r="B132" s="26" t="s">
        <v>230</v>
      </c>
      <c r="C132" s="6">
        <v>12</v>
      </c>
      <c r="D132" s="6">
        <v>9</v>
      </c>
      <c r="E132" s="6">
        <v>3</v>
      </c>
    </row>
    <row r="133" spans="1:8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8" ht="15.75" thickBot="1" x14ac:dyDescent="0.3">
      <c r="A134" s="12" t="s">
        <v>233</v>
      </c>
      <c r="B134" s="26" t="s">
        <v>234</v>
      </c>
      <c r="C134" s="6">
        <v>3</v>
      </c>
      <c r="D134" s="6">
        <v>3</v>
      </c>
      <c r="E134" s="6"/>
    </row>
    <row r="135" spans="1:8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8" ht="15.75" thickBot="1" x14ac:dyDescent="0.3">
      <c r="A136" s="12" t="s">
        <v>237</v>
      </c>
      <c r="B136" s="26" t="s">
        <v>238</v>
      </c>
      <c r="C136" s="6">
        <v>9</v>
      </c>
      <c r="D136" s="6">
        <v>6</v>
      </c>
      <c r="E136" s="6">
        <v>3</v>
      </c>
    </row>
    <row r="137" spans="1:8" ht="24.75" thickBot="1" x14ac:dyDescent="0.3">
      <c r="A137" s="7" t="s">
        <v>239</v>
      </c>
      <c r="B137" s="23" t="s">
        <v>240</v>
      </c>
      <c r="C137" s="11">
        <v>11</v>
      </c>
      <c r="D137" s="11">
        <v>11</v>
      </c>
      <c r="E137" s="11"/>
    </row>
    <row r="138" spans="1:8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8" ht="15.75" thickBot="1" x14ac:dyDescent="0.3">
      <c r="A139" s="12" t="s">
        <v>243</v>
      </c>
      <c r="B139" s="26" t="s">
        <v>244</v>
      </c>
      <c r="C139" s="6">
        <v>3</v>
      </c>
      <c r="D139" s="6">
        <v>3</v>
      </c>
      <c r="E139" s="6"/>
    </row>
    <row r="140" spans="1:8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8" ht="15.75" thickBot="1" x14ac:dyDescent="0.3">
      <c r="A141" s="12" t="s">
        <v>247</v>
      </c>
      <c r="B141" s="26" t="s">
        <v>248</v>
      </c>
      <c r="C141" s="6">
        <v>8</v>
      </c>
      <c r="D141" s="6">
        <v>8</v>
      </c>
      <c r="E141" s="6"/>
    </row>
    <row r="142" spans="1:8" ht="36.75" thickBot="1" x14ac:dyDescent="0.3">
      <c r="A142" s="7" t="s">
        <v>249</v>
      </c>
      <c r="B142" s="23" t="s">
        <v>250</v>
      </c>
      <c r="C142" s="11">
        <v>668</v>
      </c>
      <c r="D142" s="11">
        <v>558</v>
      </c>
      <c r="E142" s="11">
        <v>110</v>
      </c>
      <c r="G142">
        <f>C142</f>
        <v>668</v>
      </c>
      <c r="H142">
        <f>C147+C149</f>
        <v>668</v>
      </c>
    </row>
    <row r="143" spans="1:8" ht="15.75" thickBot="1" x14ac:dyDescent="0.3">
      <c r="A143" s="12" t="s">
        <v>251</v>
      </c>
      <c r="B143" s="26" t="s">
        <v>198</v>
      </c>
      <c r="C143" s="6">
        <v>330</v>
      </c>
      <c r="D143" s="6">
        <v>220</v>
      </c>
      <c r="E143" s="6">
        <v>110</v>
      </c>
    </row>
    <row r="144" spans="1:8" ht="24.75" thickBot="1" x14ac:dyDescent="0.3">
      <c r="A144" s="12" t="s">
        <v>252</v>
      </c>
      <c r="B144" s="26" t="s">
        <v>253</v>
      </c>
      <c r="C144" s="6">
        <v>338</v>
      </c>
      <c r="D144" s="6">
        <v>338</v>
      </c>
      <c r="E144" s="6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>
        <v>43</v>
      </c>
      <c r="D147" s="6">
        <v>43</v>
      </c>
      <c r="E147" s="6"/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>
        <v>625</v>
      </c>
      <c r="D149" s="6">
        <v>515</v>
      </c>
      <c r="E149" s="6">
        <f>10+100</f>
        <v>110</v>
      </c>
    </row>
    <row r="150" spans="1:5" ht="24.75" thickBot="1" x14ac:dyDescent="0.3">
      <c r="A150" s="7" t="s">
        <v>263</v>
      </c>
      <c r="B150" s="23" t="s">
        <v>264</v>
      </c>
      <c r="C150" s="11">
        <v>668</v>
      </c>
      <c r="D150" s="11">
        <v>558</v>
      </c>
      <c r="E150" s="11">
        <v>110</v>
      </c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>
        <v>43</v>
      </c>
      <c r="D152" s="6">
        <v>43</v>
      </c>
      <c r="E152" s="6"/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>
        <v>625</v>
      </c>
      <c r="D154" s="6">
        <v>515</v>
      </c>
      <c r="E154" s="6">
        <f>10+100</f>
        <v>110</v>
      </c>
    </row>
    <row r="155" spans="1:5" ht="36.75" thickBot="1" x14ac:dyDescent="0.3">
      <c r="A155" s="7" t="s">
        <v>269</v>
      </c>
      <c r="B155" s="23" t="s">
        <v>270</v>
      </c>
      <c r="C155" s="11">
        <f>C156+C157</f>
        <v>17</v>
      </c>
      <c r="D155" s="11">
        <f t="shared" ref="D155:E155" si="3">D156+D157</f>
        <v>12</v>
      </c>
      <c r="E155" s="11">
        <f t="shared" si="3"/>
        <v>5</v>
      </c>
    </row>
    <row r="156" spans="1:5" ht="15.75" thickBot="1" x14ac:dyDescent="0.3">
      <c r="A156" s="44" t="s">
        <v>271</v>
      </c>
      <c r="B156" s="24" t="s">
        <v>198</v>
      </c>
      <c r="C156" s="6">
        <f>10</f>
        <v>10</v>
      </c>
      <c r="D156" s="6">
        <f>2+3</f>
        <v>5</v>
      </c>
      <c r="E156" s="6">
        <f>5</f>
        <v>5</v>
      </c>
    </row>
    <row r="157" spans="1:5" ht="24.75" thickBot="1" x14ac:dyDescent="0.3">
      <c r="A157" s="44" t="s">
        <v>272</v>
      </c>
      <c r="B157" s="24" t="s">
        <v>253</v>
      </c>
      <c r="C157" s="6">
        <v>7</v>
      </c>
      <c r="D157" s="6">
        <f>5+2</f>
        <v>7</v>
      </c>
      <c r="E157" s="6">
        <v>0</v>
      </c>
    </row>
    <row r="158" spans="1:5" ht="15.75" thickBot="1" x14ac:dyDescent="0.3">
      <c r="A158" s="44" t="s">
        <v>273</v>
      </c>
      <c r="B158" s="24" t="s">
        <v>274</v>
      </c>
      <c r="C158" s="16">
        <v>10</v>
      </c>
      <c r="D158" s="16">
        <v>5</v>
      </c>
      <c r="E158" s="16">
        <v>5</v>
      </c>
    </row>
    <row r="159" spans="1:5" ht="15.75" thickBot="1" x14ac:dyDescent="0.3">
      <c r="A159" s="44" t="s">
        <v>275</v>
      </c>
      <c r="B159" s="24" t="s">
        <v>276</v>
      </c>
      <c r="C159" s="16">
        <v>7</v>
      </c>
      <c r="D159" s="16">
        <v>5</v>
      </c>
      <c r="E159" s="16">
        <v>2</v>
      </c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5" ht="15.75" thickBot="1" x14ac:dyDescent="0.3">
      <c r="A161" s="44"/>
      <c r="B161" s="30" t="s">
        <v>279</v>
      </c>
      <c r="C161" s="6"/>
      <c r="D161" s="6"/>
      <c r="E161" s="6"/>
    </row>
    <row r="162" spans="1:5" ht="15.75" thickBot="1" x14ac:dyDescent="0.3">
      <c r="A162" s="44" t="s">
        <v>280</v>
      </c>
      <c r="B162" s="24" t="s">
        <v>281</v>
      </c>
      <c r="C162" s="6">
        <v>9</v>
      </c>
      <c r="D162" s="6">
        <v>6</v>
      </c>
      <c r="E162" s="6">
        <v>3</v>
      </c>
    </row>
    <row r="163" spans="1:5" ht="15.75" thickBot="1" x14ac:dyDescent="0.3">
      <c r="A163" s="44" t="s">
        <v>282</v>
      </c>
      <c r="B163" s="24" t="s">
        <v>283</v>
      </c>
      <c r="C163" s="6">
        <v>8</v>
      </c>
      <c r="D163" s="6">
        <v>6</v>
      </c>
      <c r="E163" s="6">
        <v>2</v>
      </c>
    </row>
    <row r="164" spans="1:5" ht="24.75" thickBot="1" x14ac:dyDescent="0.3">
      <c r="A164" s="7" t="s">
        <v>284</v>
      </c>
      <c r="B164" s="23" t="s">
        <v>285</v>
      </c>
      <c r="C164" s="11">
        <v>42</v>
      </c>
      <c r="D164" s="11">
        <v>28</v>
      </c>
      <c r="E164" s="11">
        <v>14</v>
      </c>
    </row>
    <row r="165" spans="1:5" ht="24.75" thickBot="1" x14ac:dyDescent="0.3">
      <c r="A165" s="12" t="s">
        <v>286</v>
      </c>
      <c r="B165" s="26" t="s">
        <v>287</v>
      </c>
      <c r="C165" s="6">
        <v>18</v>
      </c>
      <c r="D165" s="6">
        <v>10</v>
      </c>
      <c r="E165" s="6">
        <v>8</v>
      </c>
    </row>
    <row r="166" spans="1:5" ht="24.75" thickBot="1" x14ac:dyDescent="0.3">
      <c r="A166" s="7" t="s">
        <v>288</v>
      </c>
      <c r="B166" s="23" t="s">
        <v>289</v>
      </c>
      <c r="C166" s="11">
        <v>8</v>
      </c>
      <c r="D166" s="11">
        <v>6</v>
      </c>
      <c r="E166" s="11">
        <v>2</v>
      </c>
    </row>
    <row r="167" spans="1:5" ht="24.75" thickBot="1" x14ac:dyDescent="0.3">
      <c r="A167" s="12" t="s">
        <v>291</v>
      </c>
      <c r="B167" s="26" t="s">
        <v>502</v>
      </c>
      <c r="C167" s="6">
        <v>8</v>
      </c>
      <c r="D167" s="6">
        <v>6</v>
      </c>
      <c r="E167" s="6">
        <v>2</v>
      </c>
    </row>
    <row r="168" spans="1:5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5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5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5" ht="24.75" thickBot="1" x14ac:dyDescent="0.3">
      <c r="A171" s="12" t="s">
        <v>299</v>
      </c>
      <c r="B171" s="26" t="s">
        <v>300</v>
      </c>
      <c r="C171" s="6">
        <v>0</v>
      </c>
      <c r="D171" s="6"/>
      <c r="E171" s="6"/>
    </row>
    <row r="172" spans="1:5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5" ht="24.75" thickBot="1" x14ac:dyDescent="0.3">
      <c r="A173" s="44" t="s">
        <v>303</v>
      </c>
      <c r="B173" s="24" t="s">
        <v>304</v>
      </c>
      <c r="C173" s="17">
        <v>0</v>
      </c>
      <c r="D173" s="17"/>
      <c r="E173" s="17"/>
    </row>
    <row r="174" spans="1:5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5" ht="36.75" thickBot="1" x14ac:dyDescent="0.3">
      <c r="A175" s="7" t="s">
        <v>307</v>
      </c>
      <c r="B175" s="23" t="s">
        <v>308</v>
      </c>
      <c r="C175" s="11">
        <v>0</v>
      </c>
      <c r="D175" s="11"/>
      <c r="E175" s="11">
        <v>0</v>
      </c>
    </row>
    <row r="176" spans="1:5" ht="36.75" thickBot="1" x14ac:dyDescent="0.3">
      <c r="A176" s="12" t="s">
        <v>309</v>
      </c>
      <c r="B176" s="26" t="s">
        <v>310</v>
      </c>
      <c r="C176" s="6">
        <v>0</v>
      </c>
      <c r="D176" s="6">
        <v>0</v>
      </c>
      <c r="E176" s="6">
        <v>0</v>
      </c>
    </row>
    <row r="177" spans="1:6" ht="48.75" thickBot="1" x14ac:dyDescent="0.3">
      <c r="A177" s="7" t="s">
        <v>311</v>
      </c>
      <c r="B177" s="23" t="s">
        <v>312</v>
      </c>
      <c r="C177" s="11">
        <v>0</v>
      </c>
      <c r="D177" s="11"/>
      <c r="E177" s="11"/>
    </row>
    <row r="178" spans="1:6" ht="36.75" thickBot="1" x14ac:dyDescent="0.3">
      <c r="A178" s="7" t="s">
        <v>313</v>
      </c>
      <c r="B178" s="23" t="s">
        <v>314</v>
      </c>
      <c r="C178" s="11">
        <v>0</v>
      </c>
      <c r="D178" s="11"/>
      <c r="E178" s="11"/>
    </row>
    <row r="179" spans="1:6" ht="36.75" thickBot="1" x14ac:dyDescent="0.3">
      <c r="A179" s="12" t="s">
        <v>315</v>
      </c>
      <c r="B179" s="26" t="s">
        <v>316</v>
      </c>
      <c r="C179" s="6">
        <v>0</v>
      </c>
      <c r="D179" s="6">
        <v>0</v>
      </c>
      <c r="E179" s="6">
        <v>0</v>
      </c>
    </row>
    <row r="180" spans="1:6" ht="24.75" thickBot="1" x14ac:dyDescent="0.3">
      <c r="A180" s="7" t="s">
        <v>317</v>
      </c>
      <c r="B180" s="23" t="s">
        <v>318</v>
      </c>
      <c r="C180" s="11">
        <v>1</v>
      </c>
      <c r="D180" s="11" t="s">
        <v>290</v>
      </c>
      <c r="E180" s="11" t="s">
        <v>290</v>
      </c>
    </row>
    <row r="181" spans="1:6" ht="15.75" thickBot="1" x14ac:dyDescent="0.3">
      <c r="A181" s="12" t="s">
        <v>319</v>
      </c>
      <c r="B181" s="26" t="s">
        <v>320</v>
      </c>
      <c r="C181" s="6">
        <v>1</v>
      </c>
      <c r="D181" s="6" t="s">
        <v>290</v>
      </c>
      <c r="E181" s="6" t="s">
        <v>290</v>
      </c>
    </row>
    <row r="182" spans="1:6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</row>
    <row r="183" spans="1:6" ht="24.75" thickBot="1" x14ac:dyDescent="0.3">
      <c r="A183" s="18" t="s">
        <v>323</v>
      </c>
      <c r="B183" s="23" t="s">
        <v>324</v>
      </c>
      <c r="C183" s="11">
        <v>3</v>
      </c>
      <c r="D183" s="11">
        <v>3</v>
      </c>
      <c r="E183" s="11">
        <v>0</v>
      </c>
      <c r="F183" s="52"/>
    </row>
    <row r="184" spans="1:6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</row>
    <row r="185" spans="1:6" ht="36.75" thickBot="1" x14ac:dyDescent="0.3">
      <c r="A185" s="18" t="s">
        <v>327</v>
      </c>
      <c r="B185" s="23" t="s">
        <v>328</v>
      </c>
      <c r="C185" s="11">
        <f>SUM(C186:C198)+C215</f>
        <v>30</v>
      </c>
      <c r="D185" s="11">
        <f>SUM(D186:D198)+D215</f>
        <v>16</v>
      </c>
      <c r="E185" s="11">
        <f>SUM(E186:E198)+E215</f>
        <v>14</v>
      </c>
    </row>
    <row r="186" spans="1:6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6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6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6" ht="24.75" thickBot="1" x14ac:dyDescent="0.3">
      <c r="A189" s="12" t="s">
        <v>335</v>
      </c>
      <c r="B189" s="26" t="s">
        <v>336</v>
      </c>
      <c r="C189" s="6">
        <v>1</v>
      </c>
      <c r="D189" s="6">
        <v>1</v>
      </c>
      <c r="E189" s="6"/>
    </row>
    <row r="190" spans="1:6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6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6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29</v>
      </c>
      <c r="D198" s="6">
        <f t="shared" ref="D198:E198" si="4">SUM(D199:D209)</f>
        <v>15</v>
      </c>
      <c r="E198" s="6">
        <f t="shared" si="4"/>
        <v>14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/>
      <c r="D200" s="6"/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>
        <v>1</v>
      </c>
      <c r="D204" s="6">
        <v>1</v>
      </c>
      <c r="E204" s="6"/>
    </row>
    <row r="205" spans="1:5" ht="24.75" thickBot="1" x14ac:dyDescent="0.3">
      <c r="A205" s="12" t="s">
        <v>367</v>
      </c>
      <c r="B205" s="26" t="s">
        <v>368</v>
      </c>
      <c r="C205" s="6">
        <v>1</v>
      </c>
      <c r="D205" s="6">
        <v>1</v>
      </c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>
        <v>2</v>
      </c>
      <c r="D207" s="6">
        <v>2</v>
      </c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>
        <v>25</v>
      </c>
      <c r="D209" s="6">
        <v>11</v>
      </c>
      <c r="E209" s="6">
        <v>14</v>
      </c>
    </row>
    <row r="210" spans="1:6" ht="36.75" thickBot="1" x14ac:dyDescent="0.3">
      <c r="A210" s="12" t="s">
        <v>377</v>
      </c>
      <c r="B210" s="26" t="s">
        <v>378</v>
      </c>
      <c r="C210" s="6">
        <v>25</v>
      </c>
      <c r="D210" s="6">
        <v>11</v>
      </c>
      <c r="E210" s="6">
        <v>14</v>
      </c>
    </row>
    <row r="211" spans="1:6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42"/>
      <c r="D218" s="42"/>
      <c r="E218" s="42"/>
      <c r="F218" s="52"/>
    </row>
    <row r="219" spans="1:6" ht="36.75" thickBot="1" x14ac:dyDescent="0.3">
      <c r="A219" s="7" t="s">
        <v>395</v>
      </c>
      <c r="B219" s="23" t="s">
        <v>396</v>
      </c>
      <c r="C219" s="11">
        <f>SUM(C220:C232)+C249</f>
        <v>12</v>
      </c>
      <c r="D219" s="11">
        <f t="shared" ref="D219:E219" si="5">SUM(D220:D232)+D249</f>
        <v>12</v>
      </c>
      <c r="E219" s="11">
        <f t="shared" si="5"/>
        <v>0</v>
      </c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>
        <v>3</v>
      </c>
      <c r="D223" s="6">
        <v>3</v>
      </c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>
        <v>5</v>
      </c>
      <c r="D228" s="6">
        <v>5</v>
      </c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>
        <f>SUM(C233:C243)</f>
        <v>4</v>
      </c>
      <c r="D232" s="6">
        <f t="shared" ref="D232:E232" si="6">SUM(D233:D243)</f>
        <v>4</v>
      </c>
      <c r="E232" s="6">
        <f t="shared" si="6"/>
        <v>0</v>
      </c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>
        <v>1</v>
      </c>
      <c r="D235" s="6">
        <v>1</v>
      </c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>
        <v>1</v>
      </c>
      <c r="D241" s="6">
        <v>1</v>
      </c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>
        <v>2</v>
      </c>
      <c r="D243" s="6">
        <v>2</v>
      </c>
      <c r="E243" s="6"/>
    </row>
    <row r="244" spans="1:5" ht="36.75" thickBot="1" x14ac:dyDescent="0.3">
      <c r="A244" s="12" t="s">
        <v>445</v>
      </c>
      <c r="B244" s="26" t="s">
        <v>446</v>
      </c>
      <c r="C244" s="6">
        <v>2</v>
      </c>
      <c r="D244" s="6">
        <v>2</v>
      </c>
      <c r="E244" s="6"/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>
        <v>0</v>
      </c>
      <c r="D252" s="11">
        <v>0</v>
      </c>
      <c r="E252" s="11">
        <v>0</v>
      </c>
    </row>
    <row r="253" spans="1:5" ht="48.75" thickBot="1" x14ac:dyDescent="0.3">
      <c r="A253" s="7" t="s">
        <v>462</v>
      </c>
      <c r="B253" s="23" t="s">
        <v>463</v>
      </c>
      <c r="C253" s="11">
        <v>0</v>
      </c>
      <c r="D253" s="11">
        <v>0</v>
      </c>
      <c r="E253" s="11">
        <v>0</v>
      </c>
    </row>
    <row r="254" spans="1:5" ht="24.75" thickBot="1" x14ac:dyDescent="0.3">
      <c r="A254" s="7" t="s">
        <v>464</v>
      </c>
      <c r="B254" s="23" t="s">
        <v>465</v>
      </c>
      <c r="C254" s="11">
        <v>0</v>
      </c>
      <c r="D254" s="11">
        <v>0</v>
      </c>
      <c r="E254" s="11">
        <v>0</v>
      </c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>
        <v>0</v>
      </c>
      <c r="D256" s="6">
        <v>0</v>
      </c>
      <c r="E256" s="6">
        <v>0</v>
      </c>
    </row>
    <row r="257" spans="1:5" ht="15.75" thickBot="1" x14ac:dyDescent="0.3">
      <c r="A257" s="10"/>
      <c r="B257" s="26" t="s">
        <v>470</v>
      </c>
      <c r="C257" s="6"/>
      <c r="D257" s="6"/>
      <c r="E257" s="6"/>
    </row>
    <row r="258" spans="1:5" ht="15.75" thickBot="1" x14ac:dyDescent="0.3">
      <c r="A258" s="10" t="s">
        <v>471</v>
      </c>
      <c r="B258" s="26" t="s">
        <v>472</v>
      </c>
      <c r="C258" s="6">
        <v>0</v>
      </c>
      <c r="D258" s="6">
        <v>0</v>
      </c>
      <c r="E258" s="6">
        <v>0</v>
      </c>
    </row>
    <row r="259" spans="1:5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5" ht="15.75" thickBot="1" x14ac:dyDescent="0.3">
      <c r="A260" s="10" t="s">
        <v>475</v>
      </c>
      <c r="B260" s="26" t="s">
        <v>476</v>
      </c>
      <c r="C260" s="6">
        <v>0</v>
      </c>
      <c r="D260" s="6">
        <v>0</v>
      </c>
      <c r="E260" s="6">
        <v>0</v>
      </c>
    </row>
    <row r="261" spans="1:5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5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5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5" ht="15.75" thickBot="1" x14ac:dyDescent="0.3">
      <c r="A264" s="10"/>
      <c r="B264" s="26" t="s">
        <v>470</v>
      </c>
      <c r="C264" s="6"/>
      <c r="D264" s="6"/>
      <c r="E264" s="6"/>
    </row>
    <row r="265" spans="1:5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5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5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5" ht="24" customHeight="1" x14ac:dyDescent="0.25">
      <c r="A268" s="82"/>
      <c r="B268" s="82"/>
      <c r="C268" s="82"/>
      <c r="D268" s="82"/>
      <c r="E268" s="82"/>
    </row>
    <row r="269" spans="1:5" ht="15" customHeight="1" x14ac:dyDescent="0.25">
      <c r="A269" s="19"/>
      <c r="B269" s="76"/>
      <c r="C269" s="76"/>
      <c r="D269" s="76"/>
      <c r="E269" s="76"/>
    </row>
    <row r="270" spans="1:5" ht="15" customHeight="1" x14ac:dyDescent="0.25">
      <c r="A270" s="86" t="s">
        <v>487</v>
      </c>
      <c r="B270" s="86"/>
      <c r="C270" s="86"/>
      <c r="D270" s="86"/>
      <c r="E270" s="86"/>
    </row>
    <row r="271" spans="1:5" ht="46.5" customHeight="1" x14ac:dyDescent="0.25">
      <c r="A271" s="85" t="s">
        <v>488</v>
      </c>
      <c r="B271" s="85"/>
      <c r="C271" s="85"/>
      <c r="D271" s="85"/>
      <c r="E271" s="85"/>
    </row>
    <row r="272" spans="1:5" ht="24" customHeight="1" x14ac:dyDescent="0.25">
      <c r="A272" s="85" t="s">
        <v>498</v>
      </c>
      <c r="B272" s="85"/>
      <c r="C272" s="85"/>
      <c r="D272" s="85"/>
      <c r="E272" s="85"/>
    </row>
    <row r="273" spans="1:5" ht="30.75" customHeight="1" x14ac:dyDescent="0.25">
      <c r="A273" s="85" t="s">
        <v>499</v>
      </c>
      <c r="B273" s="85"/>
      <c r="C273" s="85"/>
      <c r="D273" s="85"/>
      <c r="E273" s="85"/>
    </row>
    <row r="274" spans="1:5" ht="70.5" customHeight="1" x14ac:dyDescent="0.25">
      <c r="A274" s="85" t="s">
        <v>489</v>
      </c>
      <c r="B274" s="85"/>
      <c r="C274" s="85"/>
      <c r="D274" s="85"/>
      <c r="E274" s="85"/>
    </row>
    <row r="275" spans="1:5" ht="39.75" customHeight="1" x14ac:dyDescent="0.25">
      <c r="A275" s="85" t="s">
        <v>490</v>
      </c>
      <c r="B275" s="85"/>
      <c r="C275" s="85"/>
      <c r="D275" s="85"/>
      <c r="E275" s="85"/>
    </row>
    <row r="276" spans="1:5" ht="15.75" x14ac:dyDescent="0.25">
      <c r="A276" s="20"/>
    </row>
  </sheetData>
  <mergeCells count="19">
    <mergeCell ref="A275:E275"/>
    <mergeCell ref="A106:A107"/>
    <mergeCell ref="C106:C107"/>
    <mergeCell ref="D106:D107"/>
    <mergeCell ref="E106:E107"/>
    <mergeCell ref="A268:E268"/>
    <mergeCell ref="B269:E269"/>
    <mergeCell ref="A270:E270"/>
    <mergeCell ref="A271:E271"/>
    <mergeCell ref="A272:E272"/>
    <mergeCell ref="A273:E273"/>
    <mergeCell ref="A274:E274"/>
    <mergeCell ref="A1:E1"/>
    <mergeCell ref="A3:E3"/>
    <mergeCell ref="A4:E4"/>
    <mergeCell ref="A5:B5"/>
    <mergeCell ref="A7:A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0"/>
  <sheetViews>
    <sheetView view="pageBreakPreview" zoomScaleNormal="100" zoomScaleSheetLayoutView="100" workbookViewId="0">
      <pane ySplit="3210" topLeftCell="A262" activePane="bottomLeft"/>
      <selection pane="bottomLeft" activeCell="B269" sqref="B269:E269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/>
    <col min="6" max="6" width="0.28515625" customWidth="1"/>
    <col min="7" max="8" width="9.140625" customWidth="1"/>
  </cols>
  <sheetData>
    <row r="1" spans="1:8" ht="15.75" x14ac:dyDescent="0.25">
      <c r="A1" s="66" t="s">
        <v>0</v>
      </c>
      <c r="B1" s="66"/>
      <c r="C1" s="66"/>
      <c r="D1" s="66"/>
      <c r="E1" s="66"/>
    </row>
    <row r="2" spans="1:8" ht="15.75" x14ac:dyDescent="0.25">
      <c r="A2" s="47"/>
    </row>
    <row r="3" spans="1:8" ht="31.5" customHeight="1" x14ac:dyDescent="0.25">
      <c r="A3" s="67" t="s">
        <v>1</v>
      </c>
      <c r="B3" s="67"/>
      <c r="C3" s="67"/>
      <c r="D3" s="67"/>
      <c r="E3" s="67"/>
    </row>
    <row r="4" spans="1:8" ht="15.75" x14ac:dyDescent="0.25">
      <c r="A4" s="87" t="s">
        <v>507</v>
      </c>
      <c r="B4" s="68"/>
      <c r="C4" s="68"/>
      <c r="D4" s="68"/>
      <c r="E4" s="68"/>
    </row>
    <row r="5" spans="1:8" ht="18.75" x14ac:dyDescent="0.25">
      <c r="A5" s="69" t="s">
        <v>2</v>
      </c>
      <c r="B5" s="69"/>
      <c r="C5" s="48" t="s">
        <v>3</v>
      </c>
    </row>
    <row r="6" spans="1:8" ht="16.5" customHeight="1" thickBot="1" x14ac:dyDescent="0.3">
      <c r="A6" s="47"/>
    </row>
    <row r="7" spans="1:8" ht="15.75" customHeight="1" thickBot="1" x14ac:dyDescent="0.3">
      <c r="A7" s="70" t="s">
        <v>4</v>
      </c>
      <c r="B7" s="3" t="s">
        <v>5</v>
      </c>
      <c r="C7" s="72" t="s">
        <v>6</v>
      </c>
      <c r="D7" s="74" t="s">
        <v>7</v>
      </c>
      <c r="E7" s="75"/>
    </row>
    <row r="8" spans="1:8" ht="15.75" customHeight="1" thickBot="1" x14ac:dyDescent="0.3">
      <c r="A8" s="71"/>
      <c r="B8" s="4" t="s">
        <v>5</v>
      </c>
      <c r="C8" s="73"/>
      <c r="D8" s="4" t="s">
        <v>8</v>
      </c>
      <c r="E8" s="4" t="s">
        <v>9</v>
      </c>
    </row>
    <row r="9" spans="1:8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8" ht="15.75" customHeight="1" thickBot="1" x14ac:dyDescent="0.3">
      <c r="A10" s="7" t="s">
        <v>500</v>
      </c>
      <c r="B10" s="23" t="s">
        <v>11</v>
      </c>
      <c r="C10" s="11">
        <f>C11+C12</f>
        <v>9</v>
      </c>
      <c r="D10" s="11">
        <v>9</v>
      </c>
      <c r="E10" s="11"/>
      <c r="G10">
        <f>C10</f>
        <v>9</v>
      </c>
      <c r="H10">
        <f>C25+C30</f>
        <v>9</v>
      </c>
    </row>
    <row r="11" spans="1:8" ht="15.75" thickBot="1" x14ac:dyDescent="0.3">
      <c r="A11" s="8" t="s">
        <v>12</v>
      </c>
      <c r="B11" s="24" t="s">
        <v>13</v>
      </c>
      <c r="C11" s="9">
        <v>4</v>
      </c>
      <c r="D11" s="9">
        <f>2+2</f>
        <v>4</v>
      </c>
      <c r="E11" s="9">
        <v>0</v>
      </c>
      <c r="G11">
        <f>C11</f>
        <v>4</v>
      </c>
      <c r="H11">
        <f>C26+C31</f>
        <v>4</v>
      </c>
    </row>
    <row r="12" spans="1:8" ht="24.75" thickBot="1" x14ac:dyDescent="0.3">
      <c r="A12" s="10" t="s">
        <v>14</v>
      </c>
      <c r="B12" s="25" t="s">
        <v>501</v>
      </c>
      <c r="C12" s="6">
        <f>C13+C14+C15+C16+C17+C18+C19+C20+C21</f>
        <v>5</v>
      </c>
      <c r="D12" s="6">
        <f>1+2+2</f>
        <v>5</v>
      </c>
      <c r="E12" s="6"/>
    </row>
    <row r="13" spans="1:8" ht="24.75" thickBot="1" x14ac:dyDescent="0.3">
      <c r="A13" s="8" t="s">
        <v>16</v>
      </c>
      <c r="B13" s="24" t="s">
        <v>17</v>
      </c>
      <c r="C13" s="9"/>
      <c r="D13" s="9"/>
      <c r="E13" s="9"/>
    </row>
    <row r="14" spans="1:8" ht="24.75" thickBot="1" x14ac:dyDescent="0.3">
      <c r="A14" s="8" t="s">
        <v>18</v>
      </c>
      <c r="B14" s="24" t="s">
        <v>19</v>
      </c>
      <c r="C14" s="9"/>
      <c r="D14" s="9"/>
      <c r="E14" s="9"/>
    </row>
    <row r="15" spans="1:8" ht="24.75" thickBot="1" x14ac:dyDescent="0.3">
      <c r="A15" s="8" t="s">
        <v>20</v>
      </c>
      <c r="B15" s="24" t="s">
        <v>21</v>
      </c>
      <c r="C15" s="9"/>
      <c r="D15" s="9"/>
      <c r="E15" s="9"/>
    </row>
    <row r="16" spans="1:8" ht="24.75" thickBot="1" x14ac:dyDescent="0.3">
      <c r="A16" s="8" t="s">
        <v>22</v>
      </c>
      <c r="B16" s="24" t="s">
        <v>23</v>
      </c>
      <c r="C16" s="9">
        <v>3</v>
      </c>
      <c r="D16" s="9">
        <v>3</v>
      </c>
      <c r="E16" s="9"/>
    </row>
    <row r="17" spans="1:8" ht="24.75" thickBot="1" x14ac:dyDescent="0.3">
      <c r="A17" s="8" t="s">
        <v>24</v>
      </c>
      <c r="B17" s="24" t="s">
        <v>25</v>
      </c>
      <c r="C17" s="9">
        <v>2</v>
      </c>
      <c r="D17" s="9">
        <v>2</v>
      </c>
      <c r="E17" s="9"/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491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>
        <f>C23+C24</f>
        <v>0</v>
      </c>
      <c r="D22" s="9">
        <v>0</v>
      </c>
      <c r="E22" s="9">
        <v>0</v>
      </c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>
        <v>6</v>
      </c>
      <c r="D25" s="11">
        <v>6</v>
      </c>
      <c r="E25" s="11">
        <f t="shared" ref="E25" si="0">E26+E27</f>
        <v>0</v>
      </c>
      <c r="G25">
        <f>C25</f>
        <v>6</v>
      </c>
      <c r="H25">
        <f>C26+C27</f>
        <v>6</v>
      </c>
    </row>
    <row r="26" spans="1:8" ht="15.75" thickBot="1" x14ac:dyDescent="0.3">
      <c r="A26" s="10" t="s">
        <v>41</v>
      </c>
      <c r="B26" s="26" t="s">
        <v>42</v>
      </c>
      <c r="C26" s="6">
        <f>2</f>
        <v>2</v>
      </c>
      <c r="D26" s="6">
        <f>2</f>
        <v>2</v>
      </c>
      <c r="E26" s="6"/>
    </row>
    <row r="27" spans="1:8" ht="24.75" thickBot="1" x14ac:dyDescent="0.3">
      <c r="A27" s="10" t="s">
        <v>43</v>
      </c>
      <c r="B27" s="26" t="s">
        <v>44</v>
      </c>
      <c r="C27" s="6">
        <v>4</v>
      </c>
      <c r="D27" s="6">
        <v>4</v>
      </c>
      <c r="E27" s="6">
        <v>0</v>
      </c>
    </row>
    <row r="28" spans="1:8" ht="36.75" thickBot="1" x14ac:dyDescent="0.3">
      <c r="A28" s="10" t="s">
        <v>45</v>
      </c>
      <c r="B28" s="26" t="s">
        <v>46</v>
      </c>
      <c r="C28" s="6">
        <f>2</f>
        <v>2</v>
      </c>
      <c r="D28" s="6">
        <f>2</f>
        <v>2</v>
      </c>
      <c r="E28" s="6"/>
    </row>
    <row r="29" spans="1:8" ht="15.75" thickBot="1" x14ac:dyDescent="0.3">
      <c r="A29" s="10" t="s">
        <v>47</v>
      </c>
      <c r="B29" s="26" t="s">
        <v>48</v>
      </c>
      <c r="C29" s="6">
        <f>2</f>
        <v>2</v>
      </c>
      <c r="D29" s="6">
        <f>2</f>
        <v>2</v>
      </c>
      <c r="E29" s="6"/>
    </row>
    <row r="30" spans="1:8" ht="24.75" thickBot="1" x14ac:dyDescent="0.3">
      <c r="A30" s="7" t="s">
        <v>49</v>
      </c>
      <c r="B30" s="23" t="s">
        <v>50</v>
      </c>
      <c r="C30" s="11">
        <f>C31+C32</f>
        <v>3</v>
      </c>
      <c r="D30" s="11">
        <f t="shared" ref="D30:E30" si="1">D31+D32</f>
        <v>3</v>
      </c>
      <c r="E30" s="11">
        <f t="shared" si="1"/>
        <v>0</v>
      </c>
      <c r="G30">
        <f>C30</f>
        <v>3</v>
      </c>
      <c r="H30">
        <f>C31+C32</f>
        <v>3</v>
      </c>
    </row>
    <row r="31" spans="1:8" ht="15.75" thickBot="1" x14ac:dyDescent="0.3">
      <c r="A31" s="12" t="s">
        <v>51</v>
      </c>
      <c r="B31" s="26" t="s">
        <v>52</v>
      </c>
      <c r="C31" s="6">
        <v>2</v>
      </c>
      <c r="D31" s="6">
        <v>2</v>
      </c>
      <c r="E31" s="6"/>
    </row>
    <row r="32" spans="1:8" ht="24.75" thickBot="1" x14ac:dyDescent="0.3">
      <c r="A32" s="12" t="s">
        <v>53</v>
      </c>
      <c r="B32" s="26" t="s">
        <v>54</v>
      </c>
      <c r="C32" s="6">
        <v>1</v>
      </c>
      <c r="D32" s="6">
        <v>1</v>
      </c>
      <c r="E32" s="6">
        <v>0</v>
      </c>
    </row>
    <row r="33" spans="1:5" ht="48.75" thickBot="1" x14ac:dyDescent="0.3">
      <c r="A33" s="12" t="s">
        <v>55</v>
      </c>
      <c r="B33" s="26" t="s">
        <v>56</v>
      </c>
      <c r="C33" s="6">
        <v>1</v>
      </c>
      <c r="D33" s="6">
        <v>1</v>
      </c>
      <c r="E33" s="6"/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>
        <v>0</v>
      </c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492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>
        <v>0</v>
      </c>
      <c r="E44" s="11">
        <v>0</v>
      </c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>
        <v>0</v>
      </c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>
        <v>0</v>
      </c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>
        <v>0</v>
      </c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>
        <v>0</v>
      </c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>
        <v>0</v>
      </c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>
        <v>0</v>
      </c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>
        <v>0</v>
      </c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>
        <v>0</v>
      </c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>
        <v>0</v>
      </c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>
        <v>0</v>
      </c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24.75" thickBot="1" x14ac:dyDescent="0.3">
      <c r="A57" s="7" t="s">
        <v>102</v>
      </c>
      <c r="B57" s="27" t="s">
        <v>103</v>
      </c>
      <c r="C57" s="49">
        <v>100</v>
      </c>
      <c r="D57" s="49">
        <v>100</v>
      </c>
      <c r="E57" s="49">
        <v>0</v>
      </c>
    </row>
    <row r="58" spans="1:5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5" ht="48.75" thickBot="1" x14ac:dyDescent="0.3">
      <c r="A59" s="7" t="s">
        <v>106</v>
      </c>
      <c r="B59" s="23" t="s">
        <v>107</v>
      </c>
      <c r="C59" s="11">
        <v>0</v>
      </c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>
        <v>0</v>
      </c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>
        <v>0</v>
      </c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>
        <v>0</v>
      </c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5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5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5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5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5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5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5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5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5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5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5" ht="24.75" thickBot="1" x14ac:dyDescent="0.3">
      <c r="A75" s="7" t="s">
        <v>138</v>
      </c>
      <c r="B75" s="23" t="s">
        <v>139</v>
      </c>
      <c r="C75" s="11">
        <v>7</v>
      </c>
      <c r="D75" s="11">
        <v>7</v>
      </c>
      <c r="E75" s="11">
        <v>0</v>
      </c>
    </row>
    <row r="76" spans="1:5" ht="24.75" thickBot="1" x14ac:dyDescent="0.3">
      <c r="A76" s="10" t="s">
        <v>140</v>
      </c>
      <c r="B76" s="26" t="s">
        <v>141</v>
      </c>
      <c r="C76" s="6">
        <v>2</v>
      </c>
      <c r="D76" s="6">
        <v>2</v>
      </c>
      <c r="E76" s="6">
        <v>0</v>
      </c>
    </row>
    <row r="77" spans="1:5" ht="24.75" thickBot="1" x14ac:dyDescent="0.3">
      <c r="A77" s="7" t="s">
        <v>142</v>
      </c>
      <c r="B77" s="23" t="s">
        <v>143</v>
      </c>
      <c r="C77" s="11">
        <v>1</v>
      </c>
      <c r="D77" s="11">
        <v>1</v>
      </c>
      <c r="E77" s="11"/>
    </row>
    <row r="78" spans="1:5" ht="36.75" thickBot="1" x14ac:dyDescent="0.3">
      <c r="A78" s="10" t="s">
        <v>144</v>
      </c>
      <c r="B78" s="24" t="s">
        <v>145</v>
      </c>
      <c r="C78" s="6">
        <v>0</v>
      </c>
      <c r="D78" s="6"/>
      <c r="E78" s="6"/>
    </row>
    <row r="79" spans="1:5" ht="36.75" thickBot="1" x14ac:dyDescent="0.3">
      <c r="A79" s="7" t="s">
        <v>146</v>
      </c>
      <c r="B79" s="23" t="s">
        <v>147</v>
      </c>
      <c r="C79" s="49">
        <f>C80+C83</f>
        <v>1</v>
      </c>
      <c r="D79" s="49">
        <f t="shared" ref="D79:E79" si="2">D80+D83</f>
        <v>1</v>
      </c>
      <c r="E79" s="49">
        <f t="shared" si="2"/>
        <v>0</v>
      </c>
    </row>
    <row r="80" spans="1:5" ht="24.75" thickBot="1" x14ac:dyDescent="0.3">
      <c r="A80" s="8" t="s">
        <v>148</v>
      </c>
      <c r="B80" s="24" t="s">
        <v>149</v>
      </c>
      <c r="C80" s="6">
        <f>C81+C82</f>
        <v>1</v>
      </c>
      <c r="D80" s="6">
        <f t="shared" ref="D80:E80" si="3">D81+D82</f>
        <v>1</v>
      </c>
      <c r="E80" s="6">
        <f t="shared" si="3"/>
        <v>0</v>
      </c>
    </row>
    <row r="81" spans="1:8" ht="36.75" thickBot="1" x14ac:dyDescent="0.3">
      <c r="A81" s="8" t="s">
        <v>150</v>
      </c>
      <c r="B81" s="24" t="s">
        <v>151</v>
      </c>
      <c r="C81" s="6">
        <v>0</v>
      </c>
      <c r="D81" s="6"/>
      <c r="E81" s="6"/>
    </row>
    <row r="82" spans="1:8" ht="36.75" thickBot="1" x14ac:dyDescent="0.3">
      <c r="A82" s="8" t="s">
        <v>152</v>
      </c>
      <c r="B82" s="24" t="s">
        <v>153</v>
      </c>
      <c r="C82" s="6">
        <v>1</v>
      </c>
      <c r="D82" s="6">
        <v>1</v>
      </c>
      <c r="E82" s="6"/>
    </row>
    <row r="83" spans="1:8" ht="24.75" thickBot="1" x14ac:dyDescent="0.3">
      <c r="A83" s="8" t="s">
        <v>154</v>
      </c>
      <c r="B83" s="24" t="s">
        <v>155</v>
      </c>
      <c r="C83" s="6">
        <v>0</v>
      </c>
      <c r="D83" s="6"/>
      <c r="E83" s="6"/>
    </row>
    <row r="84" spans="1:8" ht="48.75" thickBot="1" x14ac:dyDescent="0.3">
      <c r="A84" s="15" t="s">
        <v>493</v>
      </c>
      <c r="B84" s="24" t="s">
        <v>156</v>
      </c>
      <c r="C84" s="6">
        <v>0</v>
      </c>
      <c r="D84" s="6"/>
      <c r="E84" s="6"/>
    </row>
    <row r="85" spans="1:8" ht="24.75" thickBot="1" x14ac:dyDescent="0.3">
      <c r="A85" s="7" t="s">
        <v>157</v>
      </c>
      <c r="B85" s="23" t="s">
        <v>158</v>
      </c>
      <c r="C85" s="11">
        <v>55</v>
      </c>
      <c r="D85" s="11">
        <v>55</v>
      </c>
      <c r="E85" s="11">
        <v>0</v>
      </c>
      <c r="G85">
        <f>C85</f>
        <v>55</v>
      </c>
      <c r="H85">
        <f>C88+C91+C94+C97+C100+C103+C106</f>
        <v>55</v>
      </c>
    </row>
    <row r="86" spans="1:8" ht="15.75" thickBot="1" x14ac:dyDescent="0.3">
      <c r="A86" s="12" t="s">
        <v>159</v>
      </c>
      <c r="B86" s="26" t="s">
        <v>13</v>
      </c>
      <c r="C86" s="6">
        <f>4+17</f>
        <v>21</v>
      </c>
      <c r="D86" s="6">
        <f>4+17</f>
        <v>21</v>
      </c>
      <c r="E86" s="6"/>
    </row>
    <row r="87" spans="1:8" ht="24.75" thickBot="1" x14ac:dyDescent="0.3">
      <c r="A87" s="12" t="s">
        <v>160</v>
      </c>
      <c r="B87" s="26" t="s">
        <v>161</v>
      </c>
      <c r="C87" s="6">
        <v>34</v>
      </c>
      <c r="D87" s="6">
        <v>34</v>
      </c>
      <c r="E87" s="6"/>
    </row>
    <row r="88" spans="1:8" ht="15.75" thickBot="1" x14ac:dyDescent="0.3">
      <c r="A88" s="26" t="s">
        <v>162</v>
      </c>
      <c r="B88" s="26" t="s">
        <v>494</v>
      </c>
      <c r="C88" s="41">
        <v>41</v>
      </c>
      <c r="D88" s="41">
        <v>41</v>
      </c>
      <c r="E88" s="41"/>
    </row>
    <row r="89" spans="1:8" ht="15.75" thickBot="1" x14ac:dyDescent="0.3">
      <c r="A89" s="12" t="s">
        <v>164</v>
      </c>
      <c r="B89" s="26" t="s">
        <v>13</v>
      </c>
      <c r="C89" s="6">
        <f>2+10</f>
        <v>12</v>
      </c>
      <c r="D89" s="6">
        <f>2+10</f>
        <v>12</v>
      </c>
      <c r="E89" s="6"/>
    </row>
    <row r="90" spans="1:8" ht="24.75" thickBot="1" x14ac:dyDescent="0.3">
      <c r="A90" s="12" t="s">
        <v>165</v>
      </c>
      <c r="B90" s="26" t="s">
        <v>166</v>
      </c>
      <c r="C90" s="6">
        <f>29</f>
        <v>29</v>
      </c>
      <c r="D90" s="6">
        <f>29</f>
        <v>29</v>
      </c>
      <c r="E90" s="6"/>
    </row>
    <row r="91" spans="1:8" x14ac:dyDescent="0.25">
      <c r="A91" s="22" t="s">
        <v>167</v>
      </c>
      <c r="B91" s="28" t="s">
        <v>495</v>
      </c>
      <c r="C91" s="45">
        <f>4</f>
        <v>4</v>
      </c>
      <c r="D91" s="45">
        <f>4</f>
        <v>4</v>
      </c>
      <c r="E91" s="45"/>
    </row>
    <row r="92" spans="1:8" ht="15.75" thickBot="1" x14ac:dyDescent="0.3">
      <c r="A92" s="44" t="s">
        <v>168</v>
      </c>
      <c r="B92" s="26" t="s">
        <v>13</v>
      </c>
      <c r="C92" s="6">
        <f>4</f>
        <v>4</v>
      </c>
      <c r="D92" s="6">
        <f>4</f>
        <v>4</v>
      </c>
      <c r="E92" s="6"/>
    </row>
    <row r="93" spans="1:8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8" x14ac:dyDescent="0.25">
      <c r="A94" s="43" t="s">
        <v>170</v>
      </c>
      <c r="B94" s="29" t="s">
        <v>496</v>
      </c>
      <c r="C94" s="45"/>
      <c r="D94" s="45"/>
      <c r="E94" s="45"/>
    </row>
    <row r="95" spans="1:8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8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44" t="s">
        <v>170</v>
      </c>
      <c r="B97" s="30" t="s">
        <v>173</v>
      </c>
      <c r="C97" s="6"/>
      <c r="D97" s="6"/>
      <c r="E97" s="6"/>
    </row>
    <row r="98" spans="1:5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5" ht="15.75" thickBot="1" x14ac:dyDescent="0.3">
      <c r="A100" s="44" t="s">
        <v>176</v>
      </c>
      <c r="B100" s="30" t="s">
        <v>177</v>
      </c>
      <c r="C100" s="6"/>
      <c r="D100" s="6"/>
      <c r="E100" s="6"/>
    </row>
    <row r="101" spans="1:5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5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5" x14ac:dyDescent="0.25">
      <c r="A103" s="43" t="s">
        <v>180</v>
      </c>
      <c r="B103" s="29" t="s">
        <v>497</v>
      </c>
      <c r="C103" s="45"/>
      <c r="D103" s="45"/>
      <c r="E103" s="45"/>
    </row>
    <row r="104" spans="1:5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5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5" x14ac:dyDescent="0.25">
      <c r="A106" s="78" t="s">
        <v>183</v>
      </c>
      <c r="B106" s="29" t="s">
        <v>184</v>
      </c>
      <c r="C106" s="80">
        <v>10</v>
      </c>
      <c r="D106" s="80">
        <v>10</v>
      </c>
      <c r="E106" s="80"/>
    </row>
    <row r="107" spans="1:5" ht="15.75" thickBot="1" x14ac:dyDescent="0.3">
      <c r="A107" s="79"/>
      <c r="B107" s="30" t="s">
        <v>163</v>
      </c>
      <c r="C107" s="81"/>
      <c r="D107" s="81"/>
      <c r="E107" s="81"/>
    </row>
    <row r="108" spans="1:5" ht="15.75" thickBot="1" x14ac:dyDescent="0.3">
      <c r="A108" s="44" t="s">
        <v>185</v>
      </c>
      <c r="B108" s="26" t="s">
        <v>13</v>
      </c>
      <c r="C108" s="6">
        <f t="shared" ref="C108:D108" si="4">2+3</f>
        <v>5</v>
      </c>
      <c r="D108" s="6">
        <f t="shared" si="4"/>
        <v>5</v>
      </c>
      <c r="E108" s="6"/>
    </row>
    <row r="109" spans="1:5" ht="24.75" thickBot="1" x14ac:dyDescent="0.3">
      <c r="A109" s="44" t="s">
        <v>186</v>
      </c>
      <c r="B109" s="26" t="s">
        <v>166</v>
      </c>
      <c r="C109" s="6">
        <f>5</f>
        <v>5</v>
      </c>
      <c r="D109" s="6">
        <f>5</f>
        <v>5</v>
      </c>
      <c r="E109" s="6"/>
    </row>
    <row r="110" spans="1:5" ht="15.75" thickBot="1" x14ac:dyDescent="0.3">
      <c r="A110" s="44" t="s">
        <v>187</v>
      </c>
      <c r="B110" s="24" t="s">
        <v>188</v>
      </c>
      <c r="C110" s="16"/>
      <c r="D110" s="16"/>
      <c r="E110" s="16"/>
    </row>
    <row r="111" spans="1:5" ht="24.75" thickBot="1" x14ac:dyDescent="0.3">
      <c r="A111" s="44" t="s">
        <v>189</v>
      </c>
      <c r="B111" s="24" t="s">
        <v>190</v>
      </c>
      <c r="C111" s="16">
        <v>51</v>
      </c>
      <c r="D111" s="16">
        <v>51</v>
      </c>
      <c r="E111" s="16"/>
    </row>
    <row r="112" spans="1:5" ht="24.75" thickBot="1" x14ac:dyDescent="0.3">
      <c r="A112" s="44" t="s">
        <v>191</v>
      </c>
      <c r="B112" s="24" t="s">
        <v>192</v>
      </c>
      <c r="C112" s="51">
        <v>4</v>
      </c>
      <c r="D112" s="51">
        <v>4</v>
      </c>
      <c r="E112" s="16"/>
    </row>
    <row r="113" spans="1:8" ht="24.75" thickBot="1" x14ac:dyDescent="0.3">
      <c r="A113" s="44" t="s">
        <v>193</v>
      </c>
      <c r="B113" s="24" t="s">
        <v>194</v>
      </c>
      <c r="C113" s="16"/>
      <c r="D113" s="16"/>
      <c r="E113" s="16"/>
    </row>
    <row r="114" spans="1:8" ht="36.75" thickBot="1" x14ac:dyDescent="0.3">
      <c r="A114" s="7" t="s">
        <v>195</v>
      </c>
      <c r="B114" s="23" t="s">
        <v>196</v>
      </c>
      <c r="C114" s="11">
        <v>3</v>
      </c>
      <c r="D114" s="11">
        <v>3</v>
      </c>
      <c r="E114" s="11">
        <v>0</v>
      </c>
    </row>
    <row r="115" spans="1:8" ht="15.75" thickBot="1" x14ac:dyDescent="0.3">
      <c r="A115" s="12" t="s">
        <v>197</v>
      </c>
      <c r="B115" s="26" t="s">
        <v>198</v>
      </c>
      <c r="C115" s="6">
        <v>2</v>
      </c>
      <c r="D115" s="6">
        <v>2</v>
      </c>
      <c r="E115" s="6"/>
    </row>
    <row r="116" spans="1:8" ht="24.75" thickBot="1" x14ac:dyDescent="0.3">
      <c r="A116" s="12" t="s">
        <v>199</v>
      </c>
      <c r="B116" s="26" t="s">
        <v>200</v>
      </c>
      <c r="C116" s="6">
        <v>1</v>
      </c>
      <c r="D116" s="6">
        <v>1</v>
      </c>
      <c r="E116" s="6">
        <v>0</v>
      </c>
    </row>
    <row r="117" spans="1:8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8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8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8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8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8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8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8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8" ht="36.75" thickBot="1" x14ac:dyDescent="0.3">
      <c r="A125" s="7" t="s">
        <v>217</v>
      </c>
      <c r="B125" s="23" t="s">
        <v>218</v>
      </c>
      <c r="C125" s="11">
        <v>6</v>
      </c>
      <c r="D125" s="11">
        <v>6</v>
      </c>
      <c r="E125" s="11">
        <v>0</v>
      </c>
      <c r="G125">
        <f>C126+C127</f>
        <v>6</v>
      </c>
      <c r="H125">
        <f>C131+C132</f>
        <v>6</v>
      </c>
    </row>
    <row r="126" spans="1:8" ht="15.75" thickBot="1" x14ac:dyDescent="0.3">
      <c r="A126" s="12" t="s">
        <v>219</v>
      </c>
      <c r="B126" s="26" t="s">
        <v>198</v>
      </c>
      <c r="C126" s="6">
        <v>5</v>
      </c>
      <c r="D126" s="6">
        <v>5</v>
      </c>
      <c r="E126" s="6">
        <v>0</v>
      </c>
    </row>
    <row r="127" spans="1:8" ht="24.75" thickBot="1" x14ac:dyDescent="0.3">
      <c r="A127" s="12" t="s">
        <v>220</v>
      </c>
      <c r="B127" s="26" t="s">
        <v>221</v>
      </c>
      <c r="C127" s="6">
        <v>1</v>
      </c>
      <c r="D127" s="6">
        <v>1</v>
      </c>
      <c r="E127" s="6"/>
    </row>
    <row r="128" spans="1:8" ht="15.75" thickBot="1" x14ac:dyDescent="0.3">
      <c r="A128" s="12"/>
      <c r="B128" s="31" t="s">
        <v>222</v>
      </c>
      <c r="C128" s="6"/>
      <c r="D128" s="6"/>
      <c r="E128" s="6"/>
    </row>
    <row r="129" spans="1:8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8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8" ht="15.75" thickBot="1" x14ac:dyDescent="0.3">
      <c r="A131" s="12" t="s">
        <v>227</v>
      </c>
      <c r="B131" s="26" t="s">
        <v>228</v>
      </c>
      <c r="C131" s="6">
        <v>2</v>
      </c>
      <c r="D131" s="6">
        <v>2</v>
      </c>
      <c r="E131" s="6"/>
    </row>
    <row r="132" spans="1:8" ht="24.75" thickBot="1" x14ac:dyDescent="0.3">
      <c r="A132" s="10" t="s">
        <v>229</v>
      </c>
      <c r="B132" s="26" t="s">
        <v>230</v>
      </c>
      <c r="C132" s="6">
        <v>4</v>
      </c>
      <c r="D132" s="6">
        <v>4</v>
      </c>
      <c r="E132" s="6">
        <v>0</v>
      </c>
    </row>
    <row r="133" spans="1:8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8" ht="15.75" thickBot="1" x14ac:dyDescent="0.3">
      <c r="A134" s="12" t="s">
        <v>233</v>
      </c>
      <c r="B134" s="26" t="s">
        <v>234</v>
      </c>
      <c r="C134" s="6">
        <v>3</v>
      </c>
      <c r="D134" s="6">
        <v>3</v>
      </c>
      <c r="E134" s="6"/>
    </row>
    <row r="135" spans="1:8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8" ht="15.75" thickBot="1" x14ac:dyDescent="0.3">
      <c r="A136" s="12" t="s">
        <v>237</v>
      </c>
      <c r="B136" s="26" t="s">
        <v>238</v>
      </c>
      <c r="C136" s="6">
        <v>1</v>
      </c>
      <c r="D136" s="6">
        <v>1</v>
      </c>
      <c r="E136" s="6"/>
    </row>
    <row r="137" spans="1:8" ht="24.75" thickBot="1" x14ac:dyDescent="0.3">
      <c r="A137" s="7" t="s">
        <v>239</v>
      </c>
      <c r="B137" s="23" t="s">
        <v>240</v>
      </c>
      <c r="C137" s="11">
        <v>1</v>
      </c>
      <c r="D137" s="11">
        <v>1</v>
      </c>
      <c r="E137" s="11">
        <v>0</v>
      </c>
    </row>
    <row r="138" spans="1:8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8" ht="15.75" thickBot="1" x14ac:dyDescent="0.3">
      <c r="A139" s="12" t="s">
        <v>243</v>
      </c>
      <c r="B139" s="26" t="s">
        <v>244</v>
      </c>
      <c r="C139" s="6">
        <v>3</v>
      </c>
      <c r="D139" s="6">
        <v>3</v>
      </c>
      <c r="E139" s="6"/>
    </row>
    <row r="140" spans="1:8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8" ht="15.75" thickBot="1" x14ac:dyDescent="0.3">
      <c r="A141" s="12" t="s">
        <v>247</v>
      </c>
      <c r="B141" s="26" t="s">
        <v>248</v>
      </c>
      <c r="C141" s="6">
        <v>1</v>
      </c>
      <c r="D141" s="6">
        <v>1</v>
      </c>
      <c r="E141" s="6"/>
    </row>
    <row r="142" spans="1:8" ht="36.75" thickBot="1" x14ac:dyDescent="0.3">
      <c r="A142" s="7" t="s">
        <v>249</v>
      </c>
      <c r="B142" s="23" t="s">
        <v>250</v>
      </c>
      <c r="C142" s="11">
        <v>110</v>
      </c>
      <c r="D142" s="11">
        <v>110</v>
      </c>
      <c r="E142" s="11">
        <v>0</v>
      </c>
      <c r="G142">
        <f>C142</f>
        <v>110</v>
      </c>
      <c r="H142">
        <f>C147+C149</f>
        <v>110</v>
      </c>
    </row>
    <row r="143" spans="1:8" ht="15.75" thickBot="1" x14ac:dyDescent="0.3">
      <c r="A143" s="12" t="s">
        <v>251</v>
      </c>
      <c r="B143" s="26" t="s">
        <v>198</v>
      </c>
      <c r="C143" s="6">
        <v>60</v>
      </c>
      <c r="D143" s="6">
        <v>60</v>
      </c>
      <c r="E143" s="6"/>
    </row>
    <row r="144" spans="1:8" ht="24.75" thickBot="1" x14ac:dyDescent="0.3">
      <c r="A144" s="12" t="s">
        <v>252</v>
      </c>
      <c r="B144" s="26" t="s">
        <v>253</v>
      </c>
      <c r="C144" s="6">
        <v>50</v>
      </c>
      <c r="D144" s="6">
        <v>50</v>
      </c>
      <c r="E144" s="6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>
        <v>60</v>
      </c>
      <c r="D147" s="6">
        <v>60</v>
      </c>
      <c r="E147" s="6"/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>
        <v>50</v>
      </c>
      <c r="D149" s="6">
        <v>50</v>
      </c>
      <c r="E149" s="6"/>
    </row>
    <row r="150" spans="1:5" ht="24.75" thickBot="1" x14ac:dyDescent="0.3">
      <c r="A150" s="7" t="s">
        <v>263</v>
      </c>
      <c r="B150" s="23" t="s">
        <v>264</v>
      </c>
      <c r="C150" s="11">
        <v>110</v>
      </c>
      <c r="D150" s="11">
        <v>110</v>
      </c>
      <c r="E150" s="11">
        <v>0</v>
      </c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>
        <v>60</v>
      </c>
      <c r="D152" s="6">
        <v>60</v>
      </c>
      <c r="E152" s="6"/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>
        <v>50</v>
      </c>
      <c r="D154" s="6">
        <v>50</v>
      </c>
      <c r="E154" s="6"/>
    </row>
    <row r="155" spans="1:5" ht="36.75" thickBot="1" x14ac:dyDescent="0.3">
      <c r="A155" s="7" t="s">
        <v>269</v>
      </c>
      <c r="B155" s="23" t="s">
        <v>270</v>
      </c>
      <c r="C155" s="11">
        <f>C156+C157</f>
        <v>3</v>
      </c>
      <c r="D155" s="11">
        <f t="shared" ref="D155:E155" si="5">D156+D157</f>
        <v>3</v>
      </c>
      <c r="E155" s="11">
        <f t="shared" si="5"/>
        <v>0</v>
      </c>
    </row>
    <row r="156" spans="1:5" ht="15.75" thickBot="1" x14ac:dyDescent="0.3">
      <c r="A156" s="44" t="s">
        <v>271</v>
      </c>
      <c r="B156" s="24" t="s">
        <v>198</v>
      </c>
      <c r="C156" s="6">
        <v>2</v>
      </c>
      <c r="D156" s="6">
        <v>2</v>
      </c>
      <c r="E156" s="6"/>
    </row>
    <row r="157" spans="1:5" ht="24.75" thickBot="1" x14ac:dyDescent="0.3">
      <c r="A157" s="44" t="s">
        <v>272</v>
      </c>
      <c r="B157" s="24" t="s">
        <v>253</v>
      </c>
      <c r="C157" s="6">
        <v>1</v>
      </c>
      <c r="D157" s="6">
        <v>1</v>
      </c>
      <c r="E157" s="6">
        <v>0</v>
      </c>
    </row>
    <row r="158" spans="1:5" ht="15.75" thickBot="1" x14ac:dyDescent="0.3">
      <c r="A158" s="44" t="s">
        <v>273</v>
      </c>
      <c r="B158" s="24" t="s">
        <v>274</v>
      </c>
      <c r="C158" s="16">
        <v>2</v>
      </c>
      <c r="D158" s="16">
        <v>2</v>
      </c>
      <c r="E158" s="16"/>
    </row>
    <row r="159" spans="1:5" ht="15.75" thickBot="1" x14ac:dyDescent="0.3">
      <c r="A159" s="44" t="s">
        <v>275</v>
      </c>
      <c r="B159" s="24" t="s">
        <v>276</v>
      </c>
      <c r="C159" s="16">
        <v>1</v>
      </c>
      <c r="D159" s="16">
        <v>1</v>
      </c>
      <c r="E159" s="16"/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5" ht="15.75" thickBot="1" x14ac:dyDescent="0.3">
      <c r="A161" s="44"/>
      <c r="B161" s="30" t="s">
        <v>279</v>
      </c>
      <c r="C161" s="6"/>
      <c r="D161" s="6"/>
      <c r="E161" s="6"/>
    </row>
    <row r="162" spans="1:5" ht="15.75" thickBot="1" x14ac:dyDescent="0.3">
      <c r="A162" s="44" t="s">
        <v>280</v>
      </c>
      <c r="B162" s="24" t="s">
        <v>281</v>
      </c>
      <c r="C162" s="6">
        <v>3</v>
      </c>
      <c r="D162" s="6">
        <v>3</v>
      </c>
      <c r="E162" s="6"/>
    </row>
    <row r="163" spans="1:5" ht="15.75" thickBot="1" x14ac:dyDescent="0.3">
      <c r="A163" s="44" t="s">
        <v>282</v>
      </c>
      <c r="B163" s="24" t="s">
        <v>283</v>
      </c>
      <c r="C163" s="6">
        <v>0</v>
      </c>
      <c r="D163" s="6">
        <v>0</v>
      </c>
      <c r="E163" s="6"/>
    </row>
    <row r="164" spans="1:5" ht="24.75" thickBot="1" x14ac:dyDescent="0.3">
      <c r="A164" s="7" t="s">
        <v>284</v>
      </c>
      <c r="B164" s="23" t="s">
        <v>285</v>
      </c>
      <c r="C164" s="11">
        <v>8</v>
      </c>
      <c r="D164" s="11">
        <v>8</v>
      </c>
      <c r="E164" s="11"/>
    </row>
    <row r="165" spans="1:5" ht="24.75" thickBot="1" x14ac:dyDescent="0.3">
      <c r="A165" s="12" t="s">
        <v>286</v>
      </c>
      <c r="B165" s="26" t="s">
        <v>287</v>
      </c>
      <c r="C165" s="6">
        <v>2</v>
      </c>
      <c r="D165" s="6">
        <v>2</v>
      </c>
      <c r="E165" s="6"/>
    </row>
    <row r="166" spans="1:5" ht="24.75" thickBot="1" x14ac:dyDescent="0.3">
      <c r="A166" s="7" t="s">
        <v>288</v>
      </c>
      <c r="B166" s="23" t="s">
        <v>289</v>
      </c>
      <c r="C166" s="11">
        <v>2</v>
      </c>
      <c r="D166" s="11">
        <v>2</v>
      </c>
      <c r="E166" s="11" t="s">
        <v>290</v>
      </c>
    </row>
    <row r="167" spans="1:5" ht="24.75" thickBot="1" x14ac:dyDescent="0.3">
      <c r="A167" s="12" t="s">
        <v>291</v>
      </c>
      <c r="B167" s="26" t="s">
        <v>502</v>
      </c>
      <c r="C167" s="6">
        <v>2</v>
      </c>
      <c r="D167" s="6">
        <v>2</v>
      </c>
      <c r="E167" s="6" t="s">
        <v>290</v>
      </c>
    </row>
    <row r="168" spans="1:5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5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5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5" ht="24.75" thickBot="1" x14ac:dyDescent="0.3">
      <c r="A171" s="12" t="s">
        <v>299</v>
      </c>
      <c r="B171" s="26" t="s">
        <v>300</v>
      </c>
      <c r="C171" s="6">
        <v>0</v>
      </c>
      <c r="D171" s="6"/>
      <c r="E171" s="6"/>
    </row>
    <row r="172" spans="1:5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5" ht="24.75" thickBot="1" x14ac:dyDescent="0.3">
      <c r="A173" s="44" t="s">
        <v>303</v>
      </c>
      <c r="B173" s="24" t="s">
        <v>304</v>
      </c>
      <c r="C173" s="17">
        <v>0</v>
      </c>
      <c r="D173" s="17"/>
      <c r="E173" s="17"/>
    </row>
    <row r="174" spans="1:5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5" ht="36.75" thickBot="1" x14ac:dyDescent="0.3">
      <c r="A175" s="7" t="s">
        <v>307</v>
      </c>
      <c r="B175" s="23" t="s">
        <v>308</v>
      </c>
      <c r="C175" s="11">
        <v>0</v>
      </c>
      <c r="D175" s="11"/>
      <c r="E175" s="11">
        <v>0</v>
      </c>
    </row>
    <row r="176" spans="1:5" ht="36.75" thickBot="1" x14ac:dyDescent="0.3">
      <c r="A176" s="12" t="s">
        <v>309</v>
      </c>
      <c r="B176" s="26" t="s">
        <v>310</v>
      </c>
      <c r="C176" s="6">
        <v>0</v>
      </c>
      <c r="D176" s="6">
        <v>0</v>
      </c>
      <c r="E176" s="6">
        <v>0</v>
      </c>
    </row>
    <row r="177" spans="1:5" ht="48.75" thickBot="1" x14ac:dyDescent="0.3">
      <c r="A177" s="7" t="s">
        <v>311</v>
      </c>
      <c r="B177" s="23" t="s">
        <v>312</v>
      </c>
      <c r="C177" s="11">
        <v>0</v>
      </c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>
        <v>0</v>
      </c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>
        <v>0</v>
      </c>
      <c r="D179" s="6">
        <v>0</v>
      </c>
      <c r="E179" s="6">
        <v>0</v>
      </c>
    </row>
    <row r="180" spans="1:5" ht="24.75" thickBot="1" x14ac:dyDescent="0.3">
      <c r="A180" s="7" t="s">
        <v>317</v>
      </c>
      <c r="B180" s="23" t="s">
        <v>318</v>
      </c>
      <c r="C180" s="11">
        <v>0</v>
      </c>
      <c r="D180" s="11" t="s">
        <v>290</v>
      </c>
      <c r="E180" s="11" t="s">
        <v>290</v>
      </c>
    </row>
    <row r="181" spans="1:5" ht="15.75" thickBot="1" x14ac:dyDescent="0.3">
      <c r="A181" s="12" t="s">
        <v>319</v>
      </c>
      <c r="B181" s="26" t="s">
        <v>320</v>
      </c>
      <c r="C181" s="6">
        <v>0</v>
      </c>
      <c r="D181" s="6" t="s">
        <v>290</v>
      </c>
      <c r="E181" s="6" t="s">
        <v>290</v>
      </c>
    </row>
    <row r="182" spans="1:5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</row>
    <row r="183" spans="1:5" ht="24.75" thickBot="1" x14ac:dyDescent="0.3">
      <c r="A183" s="18" t="s">
        <v>323</v>
      </c>
      <c r="B183" s="23" t="s">
        <v>324</v>
      </c>
      <c r="C183" s="11">
        <v>2</v>
      </c>
      <c r="D183" s="11">
        <v>2</v>
      </c>
      <c r="E183" s="11">
        <v>0</v>
      </c>
    </row>
    <row r="184" spans="1:5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</row>
    <row r="185" spans="1:5" ht="36.75" thickBot="1" x14ac:dyDescent="0.3">
      <c r="A185" s="18" t="s">
        <v>327</v>
      </c>
      <c r="B185" s="23" t="s">
        <v>328</v>
      </c>
      <c r="C185" s="11">
        <f>SUM(C186:C198)</f>
        <v>2</v>
      </c>
      <c r="D185" s="11">
        <f t="shared" ref="D185:E185" si="6">SUM(D186:D198)</f>
        <v>2</v>
      </c>
      <c r="E185" s="11">
        <f t="shared" si="6"/>
        <v>0</v>
      </c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>
        <v>0</v>
      </c>
      <c r="D194" s="6">
        <v>0</v>
      </c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2</v>
      </c>
      <c r="D198" s="6">
        <f t="shared" ref="D198:E198" si="7">SUM(D199:D209)</f>
        <v>2</v>
      </c>
      <c r="E198" s="6">
        <f t="shared" si="7"/>
        <v>0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>
        <v>1</v>
      </c>
      <c r="D200" s="6">
        <v>1</v>
      </c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>
        <v>1</v>
      </c>
      <c r="D204" s="6">
        <v>1</v>
      </c>
      <c r="E204" s="6"/>
    </row>
    <row r="205" spans="1:5" ht="24.75" thickBot="1" x14ac:dyDescent="0.3">
      <c r="A205" s="12" t="s">
        <v>367</v>
      </c>
      <c r="B205" s="26" t="s">
        <v>368</v>
      </c>
      <c r="C205" s="6"/>
      <c r="D205" s="6"/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/>
      <c r="D209" s="6"/>
      <c r="E209" s="6"/>
    </row>
    <row r="210" spans="1:6" ht="36.75" thickBot="1" x14ac:dyDescent="0.3">
      <c r="A210" s="12" t="s">
        <v>377</v>
      </c>
      <c r="B210" s="26" t="s">
        <v>378</v>
      </c>
      <c r="C210" s="6"/>
      <c r="D210" s="6"/>
      <c r="E210" s="6"/>
    </row>
    <row r="211" spans="1:6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42"/>
      <c r="D218" s="42"/>
      <c r="E218" s="42"/>
      <c r="F218" s="52"/>
    </row>
    <row r="219" spans="1:6" ht="36.75" thickBot="1" x14ac:dyDescent="0.3">
      <c r="A219" s="7" t="s">
        <v>395</v>
      </c>
      <c r="B219" s="23" t="s">
        <v>396</v>
      </c>
      <c r="C219" s="11">
        <f>SUM(C220:C232)</f>
        <v>3</v>
      </c>
      <c r="D219" s="11">
        <f t="shared" ref="D219:E219" si="8">SUM(D220:D232)</f>
        <v>3</v>
      </c>
      <c r="E219" s="11">
        <f t="shared" si="8"/>
        <v>0</v>
      </c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>
        <v>3</v>
      </c>
      <c r="D228" s="6">
        <v>3</v>
      </c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/>
      <c r="D232" s="6"/>
      <c r="E232" s="6"/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6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6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6" ht="48.75" thickBot="1" x14ac:dyDescent="0.3">
      <c r="A243" s="12" t="s">
        <v>443</v>
      </c>
      <c r="B243" s="26" t="s">
        <v>444</v>
      </c>
      <c r="C243" s="6"/>
      <c r="D243" s="6"/>
      <c r="E243" s="6"/>
    </row>
    <row r="244" spans="1:6" ht="36.75" thickBot="1" x14ac:dyDescent="0.3">
      <c r="A244" s="12" t="s">
        <v>445</v>
      </c>
      <c r="B244" s="26" t="s">
        <v>446</v>
      </c>
      <c r="C244" s="6"/>
      <c r="D244" s="6"/>
      <c r="E244" s="6"/>
    </row>
    <row r="245" spans="1:6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6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6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6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6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6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6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6" ht="24.75" thickBot="1" x14ac:dyDescent="0.3">
      <c r="A252" s="7" t="s">
        <v>460</v>
      </c>
      <c r="B252" s="23" t="s">
        <v>461</v>
      </c>
      <c r="C252" s="11">
        <v>0</v>
      </c>
      <c r="D252" s="11">
        <v>0</v>
      </c>
      <c r="E252" s="11">
        <v>0</v>
      </c>
    </row>
    <row r="253" spans="1:6" ht="48.75" thickBot="1" x14ac:dyDescent="0.3">
      <c r="A253" s="7" t="s">
        <v>462</v>
      </c>
      <c r="B253" s="23" t="s">
        <v>463</v>
      </c>
      <c r="C253" s="11">
        <v>0</v>
      </c>
      <c r="D253" s="11">
        <v>0</v>
      </c>
      <c r="E253" s="11">
        <v>0</v>
      </c>
    </row>
    <row r="254" spans="1:6" ht="24.75" thickBot="1" x14ac:dyDescent="0.3">
      <c r="A254" s="7" t="s">
        <v>464</v>
      </c>
      <c r="B254" s="23" t="s">
        <v>465</v>
      </c>
      <c r="C254" s="11">
        <v>0</v>
      </c>
      <c r="D254" s="11">
        <v>0</v>
      </c>
      <c r="E254" s="11">
        <v>0</v>
      </c>
      <c r="F254" s="52"/>
    </row>
    <row r="255" spans="1:6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6" ht="24.75" thickBot="1" x14ac:dyDescent="0.3">
      <c r="A256" s="10" t="s">
        <v>468</v>
      </c>
      <c r="B256" s="26" t="s">
        <v>469</v>
      </c>
      <c r="C256" s="6">
        <v>0</v>
      </c>
      <c r="D256" s="6">
        <v>0</v>
      </c>
      <c r="E256" s="6">
        <v>0</v>
      </c>
    </row>
    <row r="257" spans="1:5" ht="15.75" thickBot="1" x14ac:dyDescent="0.3">
      <c r="A257" s="10"/>
      <c r="B257" s="26" t="s">
        <v>470</v>
      </c>
      <c r="C257" s="6"/>
      <c r="D257" s="6"/>
      <c r="E257" s="6"/>
    </row>
    <row r="258" spans="1:5" ht="15.75" thickBot="1" x14ac:dyDescent="0.3">
      <c r="A258" s="10" t="s">
        <v>471</v>
      </c>
      <c r="B258" s="26" t="s">
        <v>472</v>
      </c>
      <c r="C258" s="6">
        <v>0</v>
      </c>
      <c r="D258" s="6">
        <v>0</v>
      </c>
      <c r="E258" s="6">
        <v>0</v>
      </c>
    </row>
    <row r="259" spans="1:5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5" ht="15.75" thickBot="1" x14ac:dyDescent="0.3">
      <c r="A260" s="10" t="s">
        <v>475</v>
      </c>
      <c r="B260" s="26" t="s">
        <v>476</v>
      </c>
      <c r="C260" s="6">
        <v>0</v>
      </c>
      <c r="D260" s="6">
        <v>0</v>
      </c>
      <c r="E260" s="6">
        <v>0</v>
      </c>
    </row>
    <row r="261" spans="1:5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5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5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5" ht="15.75" thickBot="1" x14ac:dyDescent="0.3">
      <c r="A264" s="10"/>
      <c r="B264" s="26" t="s">
        <v>470</v>
      </c>
      <c r="C264" s="6"/>
      <c r="D264" s="6"/>
      <c r="E264" s="6"/>
    </row>
    <row r="265" spans="1:5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5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5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5" ht="24" customHeight="1" x14ac:dyDescent="0.25">
      <c r="A268" s="82"/>
      <c r="B268" s="82"/>
      <c r="C268" s="82"/>
      <c r="D268" s="82"/>
      <c r="E268" s="82"/>
    </row>
    <row r="269" spans="1:5" ht="15" customHeight="1" x14ac:dyDescent="0.25">
      <c r="A269" s="19"/>
      <c r="B269" s="76"/>
      <c r="C269" s="76"/>
      <c r="D269" s="76"/>
      <c r="E269" s="76"/>
    </row>
    <row r="270" spans="1:5" ht="15.75" x14ac:dyDescent="0.25">
      <c r="A270" s="20"/>
    </row>
  </sheetData>
  <mergeCells count="13">
    <mergeCell ref="B269:E269"/>
    <mergeCell ref="A106:A107"/>
    <mergeCell ref="C106:C107"/>
    <mergeCell ref="D106:D107"/>
    <mergeCell ref="E106:E107"/>
    <mergeCell ref="A268:E268"/>
    <mergeCell ref="A1:E1"/>
    <mergeCell ref="A3:E3"/>
    <mergeCell ref="A4:E4"/>
    <mergeCell ref="A5:B5"/>
    <mergeCell ref="A7:A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0"/>
  <sheetViews>
    <sheetView topLeftCell="A4" zoomScaleNormal="100" workbookViewId="0">
      <pane ySplit="1950" topLeftCell="A261" activePane="bottomLeft"/>
      <selection activeCell="A4" sqref="A4:E4"/>
      <selection pane="bottomLeft" activeCell="A268" sqref="A268:E269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 customWidth="1"/>
    <col min="6" max="6" width="5.42578125" customWidth="1"/>
    <col min="7" max="7" width="9.140625" customWidth="1"/>
    <col min="8" max="8" width="5.42578125" customWidth="1"/>
  </cols>
  <sheetData>
    <row r="1" spans="1:12" ht="15.75" x14ac:dyDescent="0.25">
      <c r="A1" s="66" t="s">
        <v>0</v>
      </c>
      <c r="B1" s="66"/>
      <c r="C1" s="66"/>
      <c r="D1" s="66"/>
      <c r="E1" s="66"/>
    </row>
    <row r="2" spans="1:12" ht="15.75" x14ac:dyDescent="0.25">
      <c r="A2" s="47"/>
    </row>
    <row r="3" spans="1:12" ht="31.5" customHeight="1" x14ac:dyDescent="0.25">
      <c r="A3" s="67" t="s">
        <v>1</v>
      </c>
      <c r="B3" s="67"/>
      <c r="C3" s="67"/>
      <c r="D3" s="67"/>
      <c r="E3" s="67"/>
    </row>
    <row r="4" spans="1:12" ht="15.75" x14ac:dyDescent="0.25">
      <c r="A4" s="87" t="s">
        <v>508</v>
      </c>
      <c r="B4" s="68"/>
      <c r="C4" s="68"/>
      <c r="D4" s="68"/>
      <c r="E4" s="68"/>
    </row>
    <row r="5" spans="1:12" ht="18.75" x14ac:dyDescent="0.25">
      <c r="A5" s="69" t="s">
        <v>2</v>
      </c>
      <c r="B5" s="69"/>
      <c r="C5" s="48" t="s">
        <v>3</v>
      </c>
    </row>
    <row r="6" spans="1:12" ht="16.5" customHeight="1" thickBot="1" x14ac:dyDescent="0.3">
      <c r="A6" s="47"/>
    </row>
    <row r="7" spans="1:12" ht="15.75" customHeight="1" thickBot="1" x14ac:dyDescent="0.3">
      <c r="A7" s="70" t="s">
        <v>4</v>
      </c>
      <c r="B7" s="3" t="s">
        <v>5</v>
      </c>
      <c r="C7" s="72" t="s">
        <v>6</v>
      </c>
      <c r="D7" s="74" t="s">
        <v>7</v>
      </c>
      <c r="E7" s="75"/>
    </row>
    <row r="8" spans="1:12" ht="15.75" customHeight="1" thickBot="1" x14ac:dyDescent="0.3">
      <c r="A8" s="71"/>
      <c r="B8" s="4" t="s">
        <v>5</v>
      </c>
      <c r="C8" s="73"/>
      <c r="D8" s="4" t="s">
        <v>8</v>
      </c>
      <c r="E8" s="4" t="s">
        <v>9</v>
      </c>
    </row>
    <row r="9" spans="1:12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12" ht="15.75" customHeight="1" thickBot="1" x14ac:dyDescent="0.3">
      <c r="A10" s="7" t="s">
        <v>500</v>
      </c>
      <c r="B10" s="23" t="s">
        <v>11</v>
      </c>
      <c r="C10" s="11">
        <f>D10+E10</f>
        <v>20</v>
      </c>
      <c r="D10" s="11">
        <f>5+3</f>
        <v>8</v>
      </c>
      <c r="E10" s="11">
        <f>7+5</f>
        <v>12</v>
      </c>
      <c r="G10">
        <f>C10</f>
        <v>20</v>
      </c>
      <c r="H10">
        <f>C25+C30</f>
        <v>20</v>
      </c>
      <c r="L10">
        <v>12</v>
      </c>
    </row>
    <row r="11" spans="1:12" ht="15.75" thickBot="1" x14ac:dyDescent="0.3">
      <c r="A11" s="8" t="s">
        <v>12</v>
      </c>
      <c r="B11" s="24" t="s">
        <v>13</v>
      </c>
      <c r="C11" s="9">
        <f>D11+E11</f>
        <v>10</v>
      </c>
      <c r="D11" s="9">
        <f>1+1+2</f>
        <v>4</v>
      </c>
      <c r="E11" s="9">
        <f>2+2+2</f>
        <v>6</v>
      </c>
      <c r="G11">
        <f>C11</f>
        <v>10</v>
      </c>
      <c r="H11">
        <f>C26+C31</f>
        <v>10</v>
      </c>
    </row>
    <row r="12" spans="1:12" ht="24.75" thickBot="1" x14ac:dyDescent="0.3">
      <c r="A12" s="10" t="s">
        <v>14</v>
      </c>
      <c r="B12" s="25" t="s">
        <v>501</v>
      </c>
      <c r="C12" s="6">
        <f>C13+C14+C15+C16+C17+C18+C19+C20+C21</f>
        <v>10</v>
      </c>
      <c r="D12" s="6">
        <f t="shared" ref="D12:E12" si="0">D13+D14+D15+D16+D17+D18+D19+D20+D21</f>
        <v>4</v>
      </c>
      <c r="E12" s="6">
        <f t="shared" si="0"/>
        <v>6</v>
      </c>
    </row>
    <row r="13" spans="1:12" ht="24.75" thickBot="1" x14ac:dyDescent="0.3">
      <c r="A13" s="8" t="s">
        <v>16</v>
      </c>
      <c r="B13" s="24" t="s">
        <v>17</v>
      </c>
      <c r="C13" s="9">
        <f>2</f>
        <v>2</v>
      </c>
      <c r="D13" s="9">
        <f>1</f>
        <v>1</v>
      </c>
      <c r="E13" s="9">
        <f>1</f>
        <v>1</v>
      </c>
    </row>
    <row r="14" spans="1:12" ht="24.75" thickBot="1" x14ac:dyDescent="0.3">
      <c r="A14" s="8" t="s">
        <v>18</v>
      </c>
      <c r="B14" s="24" t="s">
        <v>19</v>
      </c>
      <c r="C14" s="9"/>
      <c r="D14" s="9"/>
      <c r="E14" s="9"/>
    </row>
    <row r="15" spans="1:12" ht="24.75" thickBot="1" x14ac:dyDescent="0.3">
      <c r="A15" s="8" t="s">
        <v>20</v>
      </c>
      <c r="B15" s="24" t="s">
        <v>21</v>
      </c>
      <c r="C15" s="9"/>
      <c r="D15" s="9"/>
      <c r="E15" s="9"/>
    </row>
    <row r="16" spans="1:12" ht="24.75" thickBot="1" x14ac:dyDescent="0.3">
      <c r="A16" s="8" t="s">
        <v>22</v>
      </c>
      <c r="B16" s="24" t="s">
        <v>23</v>
      </c>
      <c r="C16" s="9">
        <f>3+3</f>
        <v>6</v>
      </c>
      <c r="D16" s="9">
        <f>1+1</f>
        <v>2</v>
      </c>
      <c r="E16" s="9">
        <f>1+1+2</f>
        <v>4</v>
      </c>
    </row>
    <row r="17" spans="1:8" ht="24.75" thickBot="1" x14ac:dyDescent="0.3">
      <c r="A17" s="8" t="s">
        <v>24</v>
      </c>
      <c r="B17" s="24" t="s">
        <v>25</v>
      </c>
      <c r="C17" s="9">
        <f>1+1</f>
        <v>2</v>
      </c>
      <c r="D17" s="9">
        <f>1</f>
        <v>1</v>
      </c>
      <c r="E17" s="9">
        <f>1</f>
        <v>1</v>
      </c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491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>
        <f>C23+C24</f>
        <v>0</v>
      </c>
      <c r="D22" s="9">
        <v>0</v>
      </c>
      <c r="E22" s="9">
        <v>0</v>
      </c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>
        <f>C26+C27</f>
        <v>12</v>
      </c>
      <c r="D25" s="11">
        <f t="shared" ref="D25:E25" si="1">D26+D27</f>
        <v>4</v>
      </c>
      <c r="E25" s="11">
        <f t="shared" si="1"/>
        <v>8</v>
      </c>
      <c r="G25">
        <f>C25</f>
        <v>12</v>
      </c>
      <c r="H25">
        <f>C26+C27</f>
        <v>12</v>
      </c>
    </row>
    <row r="26" spans="1:8" ht="15.75" thickBot="1" x14ac:dyDescent="0.3">
      <c r="A26" s="10" t="s">
        <v>41</v>
      </c>
      <c r="B26" s="26" t="s">
        <v>42</v>
      </c>
      <c r="C26" s="6">
        <v>5</v>
      </c>
      <c r="D26" s="6">
        <f>1</f>
        <v>1</v>
      </c>
      <c r="E26" s="6">
        <f>1+2+1</f>
        <v>4</v>
      </c>
    </row>
    <row r="27" spans="1:8" ht="24.75" thickBot="1" x14ac:dyDescent="0.3">
      <c r="A27" s="10" t="s">
        <v>43</v>
      </c>
      <c r="B27" s="26" t="s">
        <v>44</v>
      </c>
      <c r="C27" s="6">
        <v>7</v>
      </c>
      <c r="D27" s="6">
        <f>2+1</f>
        <v>3</v>
      </c>
      <c r="E27" s="6">
        <f>2+1+1</f>
        <v>4</v>
      </c>
    </row>
    <row r="28" spans="1:8" ht="36.75" thickBot="1" x14ac:dyDescent="0.3">
      <c r="A28" s="10" t="s">
        <v>45</v>
      </c>
      <c r="B28" s="26" t="s">
        <v>46</v>
      </c>
      <c r="C28" s="6">
        <v>5</v>
      </c>
      <c r="D28" s="6">
        <v>2</v>
      </c>
      <c r="E28" s="6">
        <f>1+1+1</f>
        <v>3</v>
      </c>
    </row>
    <row r="29" spans="1:8" ht="15.75" thickBot="1" x14ac:dyDescent="0.3">
      <c r="A29" s="10" t="s">
        <v>47</v>
      </c>
      <c r="B29" s="26" t="s">
        <v>48</v>
      </c>
      <c r="C29" s="6">
        <v>2</v>
      </c>
      <c r="D29" s="6">
        <v>1</v>
      </c>
      <c r="E29" s="6">
        <f>1</f>
        <v>1</v>
      </c>
    </row>
    <row r="30" spans="1:8" ht="24.75" thickBot="1" x14ac:dyDescent="0.3">
      <c r="A30" s="7" t="s">
        <v>49</v>
      </c>
      <c r="B30" s="23" t="s">
        <v>50</v>
      </c>
      <c r="C30" s="11">
        <f>C31+C32</f>
        <v>8</v>
      </c>
      <c r="D30" s="11">
        <f t="shared" ref="D30:E30" si="2">D31+D32</f>
        <v>4</v>
      </c>
      <c r="E30" s="11">
        <f t="shared" si="2"/>
        <v>4</v>
      </c>
      <c r="G30">
        <f>C30</f>
        <v>8</v>
      </c>
      <c r="H30">
        <f>C31+C32</f>
        <v>8</v>
      </c>
    </row>
    <row r="31" spans="1:8" ht="15.75" thickBot="1" x14ac:dyDescent="0.3">
      <c r="A31" s="12" t="s">
        <v>51</v>
      </c>
      <c r="B31" s="26" t="s">
        <v>52</v>
      </c>
      <c r="C31" s="6">
        <v>5</v>
      </c>
      <c r="D31" s="6">
        <v>3</v>
      </c>
      <c r="E31" s="6">
        <v>2</v>
      </c>
    </row>
    <row r="32" spans="1:8" ht="24.75" thickBot="1" x14ac:dyDescent="0.3">
      <c r="A32" s="12" t="s">
        <v>53</v>
      </c>
      <c r="B32" s="26" t="s">
        <v>54</v>
      </c>
      <c r="C32" s="6">
        <v>3</v>
      </c>
      <c r="D32" s="6">
        <f>1</f>
        <v>1</v>
      </c>
      <c r="E32" s="6">
        <v>2</v>
      </c>
    </row>
    <row r="33" spans="1:5" ht="48.75" thickBot="1" x14ac:dyDescent="0.3">
      <c r="A33" s="12" t="s">
        <v>55</v>
      </c>
      <c r="B33" s="26" t="s">
        <v>56</v>
      </c>
      <c r="C33" s="6">
        <v>1</v>
      </c>
      <c r="D33" s="6"/>
      <c r="E33" s="6">
        <v>1</v>
      </c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>
        <v>0</v>
      </c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492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>
        <v>0</v>
      </c>
      <c r="E44" s="11">
        <v>0</v>
      </c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/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/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/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24.75" thickBot="1" x14ac:dyDescent="0.3">
      <c r="A57" s="7" t="s">
        <v>102</v>
      </c>
      <c r="B57" s="27" t="s">
        <v>103</v>
      </c>
      <c r="C57" s="39">
        <v>200</v>
      </c>
      <c r="D57" s="39">
        <v>80</v>
      </c>
      <c r="E57" s="39">
        <v>120</v>
      </c>
    </row>
    <row r="58" spans="1:5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5" ht="48.75" thickBot="1" x14ac:dyDescent="0.3">
      <c r="A59" s="7" t="s">
        <v>106</v>
      </c>
      <c r="B59" s="23" t="s">
        <v>107</v>
      </c>
      <c r="C59" s="11">
        <v>0</v>
      </c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>
        <v>0</v>
      </c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>
        <v>0</v>
      </c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>
        <v>0</v>
      </c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7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7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7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7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7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7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7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7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7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7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7" ht="24.75" thickBot="1" x14ac:dyDescent="0.3">
      <c r="A75" s="7" t="s">
        <v>138</v>
      </c>
      <c r="B75" s="23" t="s">
        <v>139</v>
      </c>
      <c r="C75" s="11">
        <v>12</v>
      </c>
      <c r="D75" s="11">
        <v>8</v>
      </c>
      <c r="E75" s="11">
        <v>4</v>
      </c>
      <c r="G75">
        <f>C75</f>
        <v>12</v>
      </c>
    </row>
    <row r="76" spans="1:7" ht="24.75" thickBot="1" x14ac:dyDescent="0.3">
      <c r="A76" s="10" t="s">
        <v>140</v>
      </c>
      <c r="B76" s="26" t="s">
        <v>141</v>
      </c>
      <c r="C76" s="6">
        <v>0</v>
      </c>
      <c r="D76" s="6">
        <v>0</v>
      </c>
      <c r="E76" s="6">
        <v>0</v>
      </c>
    </row>
    <row r="77" spans="1:7" ht="24.75" thickBot="1" x14ac:dyDescent="0.3">
      <c r="A77" s="7" t="s">
        <v>142</v>
      </c>
      <c r="B77" s="23" t="s">
        <v>143</v>
      </c>
      <c r="C77" s="11"/>
      <c r="D77" s="11"/>
      <c r="E77" s="11"/>
    </row>
    <row r="78" spans="1:7" ht="36.75" thickBot="1" x14ac:dyDescent="0.3">
      <c r="A78" s="10" t="s">
        <v>144</v>
      </c>
      <c r="B78" s="24" t="s">
        <v>145</v>
      </c>
      <c r="C78" s="6"/>
      <c r="D78" s="6"/>
      <c r="E78" s="6"/>
    </row>
    <row r="79" spans="1:7" ht="36.75" thickBot="1" x14ac:dyDescent="0.3">
      <c r="A79" s="7" t="s">
        <v>146</v>
      </c>
      <c r="B79" s="23" t="s">
        <v>147</v>
      </c>
      <c r="C79" s="49"/>
      <c r="D79" s="49"/>
      <c r="E79" s="49"/>
    </row>
    <row r="80" spans="1:7" ht="24.75" thickBot="1" x14ac:dyDescent="0.3">
      <c r="A80" s="8" t="s">
        <v>148</v>
      </c>
      <c r="B80" s="24" t="s">
        <v>149</v>
      </c>
      <c r="C80" s="6"/>
      <c r="D80" s="6"/>
      <c r="E80" s="6"/>
    </row>
    <row r="81" spans="1:8" ht="36.75" thickBot="1" x14ac:dyDescent="0.3">
      <c r="A81" s="8" t="s">
        <v>150</v>
      </c>
      <c r="B81" s="24" t="s">
        <v>151</v>
      </c>
      <c r="C81" s="6"/>
      <c r="D81" s="6"/>
      <c r="E81" s="6"/>
    </row>
    <row r="82" spans="1:8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8" ht="24.75" thickBot="1" x14ac:dyDescent="0.3">
      <c r="A83" s="8" t="s">
        <v>154</v>
      </c>
      <c r="B83" s="24" t="s">
        <v>155</v>
      </c>
      <c r="C83" s="6"/>
      <c r="D83" s="6"/>
      <c r="E83" s="6"/>
    </row>
    <row r="84" spans="1:8" ht="48.75" thickBot="1" x14ac:dyDescent="0.3">
      <c r="A84" s="15" t="s">
        <v>493</v>
      </c>
      <c r="B84" s="24" t="s">
        <v>156</v>
      </c>
      <c r="C84" s="6">
        <v>0</v>
      </c>
      <c r="D84" s="6">
        <v>0</v>
      </c>
      <c r="E84" s="6">
        <v>0</v>
      </c>
    </row>
    <row r="85" spans="1:8" ht="24.75" thickBot="1" x14ac:dyDescent="0.3">
      <c r="A85" s="7" t="s">
        <v>157</v>
      </c>
      <c r="B85" s="23" t="s">
        <v>158</v>
      </c>
      <c r="C85" s="11">
        <v>52</v>
      </c>
      <c r="D85" s="11">
        <v>24</v>
      </c>
      <c r="E85" s="11">
        <v>28</v>
      </c>
      <c r="G85">
        <f>C85</f>
        <v>52</v>
      </c>
      <c r="H85">
        <f>C88+C91+C94+C97+C100+C103+C106</f>
        <v>52</v>
      </c>
    </row>
    <row r="86" spans="1:8" ht="15.75" thickBot="1" x14ac:dyDescent="0.3">
      <c r="A86" s="12" t="s">
        <v>159</v>
      </c>
      <c r="B86" s="26" t="s">
        <v>13</v>
      </c>
      <c r="C86" s="6">
        <v>29</v>
      </c>
      <c r="D86" s="6">
        <f>16+7</f>
        <v>23</v>
      </c>
      <c r="E86" s="6">
        <f>4+2</f>
        <v>6</v>
      </c>
    </row>
    <row r="87" spans="1:8" ht="24.75" thickBot="1" x14ac:dyDescent="0.3">
      <c r="A87" s="12" t="s">
        <v>160</v>
      </c>
      <c r="B87" s="26" t="s">
        <v>161</v>
      </c>
      <c r="C87" s="6">
        <v>23</v>
      </c>
      <c r="D87" s="6">
        <v>1</v>
      </c>
      <c r="E87" s="6">
        <f>20+2</f>
        <v>22</v>
      </c>
    </row>
    <row r="88" spans="1:8" ht="15.75" thickBot="1" x14ac:dyDescent="0.3">
      <c r="A88" s="26" t="s">
        <v>162</v>
      </c>
      <c r="B88" s="26" t="s">
        <v>494</v>
      </c>
      <c r="C88" s="41">
        <v>39</v>
      </c>
      <c r="D88" s="41">
        <v>13</v>
      </c>
      <c r="E88" s="41">
        <v>26</v>
      </c>
    </row>
    <row r="89" spans="1:8" ht="15.75" thickBot="1" x14ac:dyDescent="0.3">
      <c r="A89" s="12" t="s">
        <v>164</v>
      </c>
      <c r="B89" s="26" t="s">
        <v>13</v>
      </c>
      <c r="C89" s="6">
        <v>17</v>
      </c>
      <c r="D89" s="6">
        <f>5+7</f>
        <v>12</v>
      </c>
      <c r="E89" s="6">
        <f>3+2</f>
        <v>5</v>
      </c>
    </row>
    <row r="90" spans="1:8" ht="24.75" thickBot="1" x14ac:dyDescent="0.3">
      <c r="A90" s="12" t="s">
        <v>165</v>
      </c>
      <c r="B90" s="26" t="s">
        <v>166</v>
      </c>
      <c r="C90" s="6">
        <v>22</v>
      </c>
      <c r="D90" s="6">
        <v>1</v>
      </c>
      <c r="E90" s="6">
        <f>19+2</f>
        <v>21</v>
      </c>
    </row>
    <row r="91" spans="1:8" x14ac:dyDescent="0.25">
      <c r="A91" s="22" t="s">
        <v>167</v>
      </c>
      <c r="B91" s="28" t="s">
        <v>495</v>
      </c>
      <c r="C91" s="45">
        <v>13</v>
      </c>
      <c r="D91" s="45">
        <v>11</v>
      </c>
      <c r="E91" s="45">
        <v>2</v>
      </c>
    </row>
    <row r="92" spans="1:8" ht="15.75" thickBot="1" x14ac:dyDescent="0.3">
      <c r="A92" s="44" t="s">
        <v>168</v>
      </c>
      <c r="B92" s="26" t="s">
        <v>13</v>
      </c>
      <c r="C92" s="6">
        <v>12</v>
      </c>
      <c r="D92" s="6">
        <v>11</v>
      </c>
      <c r="E92" s="6">
        <v>1</v>
      </c>
    </row>
    <row r="93" spans="1:8" ht="24.75" thickBot="1" x14ac:dyDescent="0.3">
      <c r="A93" s="44" t="s">
        <v>169</v>
      </c>
      <c r="B93" s="26" t="s">
        <v>166</v>
      </c>
      <c r="C93" s="6">
        <v>1</v>
      </c>
      <c r="D93" s="6">
        <v>0</v>
      </c>
      <c r="E93" s="6">
        <v>1</v>
      </c>
    </row>
    <row r="94" spans="1:8" x14ac:dyDescent="0.25">
      <c r="A94" s="43" t="s">
        <v>170</v>
      </c>
      <c r="B94" s="29" t="s">
        <v>496</v>
      </c>
      <c r="C94" s="45"/>
      <c r="D94" s="45"/>
      <c r="E94" s="45"/>
    </row>
    <row r="95" spans="1:8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8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44" t="s">
        <v>170</v>
      </c>
      <c r="B97" s="30" t="s">
        <v>173</v>
      </c>
      <c r="C97" s="6"/>
      <c r="D97" s="6"/>
      <c r="E97" s="6"/>
    </row>
    <row r="98" spans="1:5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5" ht="15.75" thickBot="1" x14ac:dyDescent="0.3">
      <c r="A100" s="44" t="s">
        <v>176</v>
      </c>
      <c r="B100" s="30" t="s">
        <v>177</v>
      </c>
      <c r="C100" s="6"/>
      <c r="D100" s="6"/>
      <c r="E100" s="6"/>
    </row>
    <row r="101" spans="1:5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5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5" x14ac:dyDescent="0.25">
      <c r="A103" s="43" t="s">
        <v>180</v>
      </c>
      <c r="B103" s="29" t="s">
        <v>497</v>
      </c>
      <c r="C103" s="45"/>
      <c r="D103" s="45"/>
      <c r="E103" s="45"/>
    </row>
    <row r="104" spans="1:5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5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5" x14ac:dyDescent="0.25">
      <c r="A106" s="78" t="s">
        <v>183</v>
      </c>
      <c r="B106" s="29" t="s">
        <v>184</v>
      </c>
      <c r="C106" s="80"/>
      <c r="D106" s="80"/>
      <c r="E106" s="80"/>
    </row>
    <row r="107" spans="1:5" ht="15.75" thickBot="1" x14ac:dyDescent="0.3">
      <c r="A107" s="79"/>
      <c r="B107" s="30" t="s">
        <v>163</v>
      </c>
      <c r="C107" s="81"/>
      <c r="D107" s="81"/>
      <c r="E107" s="81"/>
    </row>
    <row r="108" spans="1:5" ht="15.75" thickBot="1" x14ac:dyDescent="0.3">
      <c r="A108" s="44" t="s">
        <v>185</v>
      </c>
      <c r="B108" s="26" t="s">
        <v>13</v>
      </c>
      <c r="C108" s="6"/>
      <c r="D108" s="6"/>
      <c r="E108" s="6"/>
    </row>
    <row r="109" spans="1:5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5" ht="15.75" thickBot="1" x14ac:dyDescent="0.3">
      <c r="A110" s="44" t="s">
        <v>187</v>
      </c>
      <c r="B110" s="24" t="s">
        <v>188</v>
      </c>
      <c r="C110" s="16">
        <v>0</v>
      </c>
      <c r="D110" s="16">
        <v>0</v>
      </c>
      <c r="E110" s="16">
        <v>0</v>
      </c>
    </row>
    <row r="111" spans="1:5" ht="24.75" thickBot="1" x14ac:dyDescent="0.3">
      <c r="A111" s="44" t="s">
        <v>189</v>
      </c>
      <c r="B111" s="24" t="s">
        <v>190</v>
      </c>
      <c r="C111" s="16">
        <v>52</v>
      </c>
      <c r="D111" s="16">
        <f>17+7</f>
        <v>24</v>
      </c>
      <c r="E111" s="16">
        <f>4+20+4</f>
        <v>28</v>
      </c>
    </row>
    <row r="112" spans="1:5" ht="24.75" thickBot="1" x14ac:dyDescent="0.3">
      <c r="A112" s="44" t="s">
        <v>191</v>
      </c>
      <c r="B112" s="24" t="s">
        <v>192</v>
      </c>
      <c r="C112" s="16"/>
      <c r="D112" s="16"/>
      <c r="E112" s="16"/>
    </row>
    <row r="113" spans="1:8" ht="24.75" thickBot="1" x14ac:dyDescent="0.3">
      <c r="A113" s="44" t="s">
        <v>193</v>
      </c>
      <c r="B113" s="24" t="s">
        <v>194</v>
      </c>
      <c r="C113" s="16"/>
      <c r="D113" s="16"/>
      <c r="E113" s="16"/>
    </row>
    <row r="114" spans="1:8" ht="36.75" thickBot="1" x14ac:dyDescent="0.3">
      <c r="A114" s="7" t="s">
        <v>195</v>
      </c>
      <c r="B114" s="23" t="s">
        <v>196</v>
      </c>
      <c r="C114" s="11">
        <v>3</v>
      </c>
      <c r="D114" s="11">
        <v>2</v>
      </c>
      <c r="E114" s="11">
        <v>1</v>
      </c>
    </row>
    <row r="115" spans="1:8" ht="15.75" thickBot="1" x14ac:dyDescent="0.3">
      <c r="A115" s="12" t="s">
        <v>197</v>
      </c>
      <c r="B115" s="26" t="s">
        <v>198</v>
      </c>
      <c r="C115" s="6">
        <v>3</v>
      </c>
      <c r="D115" s="6">
        <v>2</v>
      </c>
      <c r="E115" s="6">
        <v>1</v>
      </c>
    </row>
    <row r="116" spans="1:8" ht="24.75" thickBot="1" x14ac:dyDescent="0.3">
      <c r="A116" s="12" t="s">
        <v>199</v>
      </c>
      <c r="B116" s="26" t="s">
        <v>200</v>
      </c>
      <c r="C116" s="6">
        <v>0</v>
      </c>
      <c r="D116" s="6"/>
      <c r="E116" s="6">
        <v>0</v>
      </c>
    </row>
    <row r="117" spans="1:8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8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8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8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8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8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8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8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8" ht="36.75" thickBot="1" x14ac:dyDescent="0.3">
      <c r="A125" s="7" t="s">
        <v>217</v>
      </c>
      <c r="B125" s="23" t="s">
        <v>218</v>
      </c>
      <c r="C125" s="11">
        <v>12</v>
      </c>
      <c r="D125" s="11">
        <v>8</v>
      </c>
      <c r="E125" s="11">
        <v>4</v>
      </c>
      <c r="G125">
        <f>C126+C127</f>
        <v>12</v>
      </c>
      <c r="H125">
        <f>C131+C132</f>
        <v>12</v>
      </c>
    </row>
    <row r="126" spans="1:8" ht="15.75" thickBot="1" x14ac:dyDescent="0.3">
      <c r="A126" s="12" t="s">
        <v>219</v>
      </c>
      <c r="B126" s="26" t="s">
        <v>198</v>
      </c>
      <c r="C126" s="6">
        <v>12</v>
      </c>
      <c r="D126" s="6">
        <f>6+2</f>
        <v>8</v>
      </c>
      <c r="E126" s="6">
        <f>4</f>
        <v>4</v>
      </c>
    </row>
    <row r="127" spans="1:8" ht="24.75" thickBot="1" x14ac:dyDescent="0.3">
      <c r="A127" s="12" t="s">
        <v>220</v>
      </c>
      <c r="B127" s="26" t="s">
        <v>221</v>
      </c>
      <c r="C127" s="6"/>
      <c r="D127" s="6"/>
      <c r="E127" s="6"/>
    </row>
    <row r="128" spans="1:8" ht="15.75" thickBot="1" x14ac:dyDescent="0.3">
      <c r="A128" s="12"/>
      <c r="B128" s="31" t="s">
        <v>222</v>
      </c>
      <c r="C128" s="6"/>
      <c r="D128" s="6"/>
      <c r="E128" s="6"/>
    </row>
    <row r="129" spans="1:8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8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8" ht="15.75" thickBot="1" x14ac:dyDescent="0.3">
      <c r="A131" s="12" t="s">
        <v>227</v>
      </c>
      <c r="B131" s="26" t="s">
        <v>228</v>
      </c>
      <c r="C131" s="6">
        <v>5</v>
      </c>
      <c r="D131" s="6">
        <v>3</v>
      </c>
      <c r="E131" s="6">
        <v>2</v>
      </c>
    </row>
    <row r="132" spans="1:8" ht="24.75" thickBot="1" x14ac:dyDescent="0.3">
      <c r="A132" s="10" t="s">
        <v>229</v>
      </c>
      <c r="B132" s="26" t="s">
        <v>230</v>
      </c>
      <c r="C132" s="6">
        <v>7</v>
      </c>
      <c r="D132" s="6">
        <f>3+2</f>
        <v>5</v>
      </c>
      <c r="E132" s="6">
        <v>2</v>
      </c>
    </row>
    <row r="133" spans="1:8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8" ht="15.75" thickBot="1" x14ac:dyDescent="0.3">
      <c r="A134" s="12" t="s">
        <v>233</v>
      </c>
      <c r="B134" s="26" t="s">
        <v>234</v>
      </c>
      <c r="C134" s="6">
        <v>3</v>
      </c>
      <c r="D134" s="6">
        <v>3</v>
      </c>
      <c r="E134" s="6">
        <f>0</f>
        <v>0</v>
      </c>
    </row>
    <row r="135" spans="1:8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8" ht="15.75" thickBot="1" x14ac:dyDescent="0.3">
      <c r="A136" s="12" t="s">
        <v>237</v>
      </c>
      <c r="B136" s="26" t="s">
        <v>238</v>
      </c>
      <c r="C136" s="6">
        <v>4</v>
      </c>
      <c r="D136" s="6">
        <v>2</v>
      </c>
      <c r="E136" s="6">
        <v>2</v>
      </c>
    </row>
    <row r="137" spans="1:8" ht="24.75" thickBot="1" x14ac:dyDescent="0.3">
      <c r="A137" s="7" t="s">
        <v>239</v>
      </c>
      <c r="B137" s="23" t="s">
        <v>240</v>
      </c>
      <c r="C137" s="11">
        <v>2</v>
      </c>
      <c r="D137" s="11">
        <v>2</v>
      </c>
      <c r="E137" s="11"/>
    </row>
    <row r="138" spans="1:8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8" ht="15.75" thickBot="1" x14ac:dyDescent="0.3">
      <c r="A139" s="12" t="s">
        <v>243</v>
      </c>
      <c r="B139" s="26" t="s">
        <v>244</v>
      </c>
      <c r="C139" s="6">
        <v>2</v>
      </c>
      <c r="D139" s="6">
        <v>2</v>
      </c>
      <c r="E139" s="6"/>
    </row>
    <row r="140" spans="1:8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8" ht="15.75" thickBot="1" x14ac:dyDescent="0.3">
      <c r="A141" s="12" t="s">
        <v>247</v>
      </c>
      <c r="B141" s="26" t="s">
        <v>248</v>
      </c>
      <c r="C141" s="6">
        <v>1</v>
      </c>
      <c r="D141" s="6">
        <v>1</v>
      </c>
      <c r="E141" s="6"/>
    </row>
    <row r="142" spans="1:8" ht="36.75" thickBot="1" x14ac:dyDescent="0.3">
      <c r="A142" s="7" t="s">
        <v>249</v>
      </c>
      <c r="B142" s="23" t="s">
        <v>250</v>
      </c>
      <c r="C142" s="11">
        <v>450</v>
      </c>
      <c r="D142" s="11">
        <v>250</v>
      </c>
      <c r="E142" s="11">
        <v>200</v>
      </c>
      <c r="G142">
        <f>C142</f>
        <v>450</v>
      </c>
      <c r="H142">
        <f>C147+C149</f>
        <v>450</v>
      </c>
    </row>
    <row r="143" spans="1:8" ht="15.75" thickBot="1" x14ac:dyDescent="0.3">
      <c r="A143" s="12" t="s">
        <v>251</v>
      </c>
      <c r="B143" s="26" t="s">
        <v>198</v>
      </c>
      <c r="C143" s="6">
        <v>450</v>
      </c>
      <c r="D143" s="6">
        <v>450</v>
      </c>
      <c r="E143" s="6">
        <v>0</v>
      </c>
    </row>
    <row r="144" spans="1:8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>
        <v>50</v>
      </c>
      <c r="D147" s="6">
        <v>50</v>
      </c>
      <c r="E147" s="6">
        <v>0</v>
      </c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>
        <v>400</v>
      </c>
      <c r="D149" s="6">
        <v>200</v>
      </c>
      <c r="E149" s="6">
        <v>200</v>
      </c>
    </row>
    <row r="150" spans="1:5" ht="24.75" thickBot="1" x14ac:dyDescent="0.3">
      <c r="A150" s="7" t="s">
        <v>263</v>
      </c>
      <c r="B150" s="23" t="s">
        <v>264</v>
      </c>
      <c r="C150" s="11">
        <v>130</v>
      </c>
      <c r="D150" s="11">
        <v>130</v>
      </c>
      <c r="E150" s="11"/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>
        <v>30</v>
      </c>
      <c r="D152" s="6">
        <v>30</v>
      </c>
      <c r="E152" s="6"/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>
        <v>100</v>
      </c>
      <c r="D154" s="6">
        <v>100</v>
      </c>
      <c r="E154" s="6"/>
    </row>
    <row r="155" spans="1:5" ht="36.75" thickBot="1" x14ac:dyDescent="0.3">
      <c r="A155" s="7" t="s">
        <v>269</v>
      </c>
      <c r="B155" s="23" t="s">
        <v>270</v>
      </c>
      <c r="C155" s="11">
        <f>C156+C157</f>
        <v>8</v>
      </c>
      <c r="D155" s="11">
        <f t="shared" ref="D155" si="3">D156+D157</f>
        <v>4</v>
      </c>
      <c r="E155" s="11">
        <v>4</v>
      </c>
    </row>
    <row r="156" spans="1:5" ht="15.75" thickBot="1" x14ac:dyDescent="0.3">
      <c r="A156" s="44" t="s">
        <v>271</v>
      </c>
      <c r="B156" s="24" t="s">
        <v>198</v>
      </c>
      <c r="C156" s="6">
        <v>6</v>
      </c>
      <c r="D156" s="6">
        <v>4</v>
      </c>
      <c r="E156" s="6">
        <v>2</v>
      </c>
    </row>
    <row r="157" spans="1:5" ht="24.75" thickBot="1" x14ac:dyDescent="0.3">
      <c r="A157" s="44" t="s">
        <v>272</v>
      </c>
      <c r="B157" s="24" t="s">
        <v>253</v>
      </c>
      <c r="C157" s="6">
        <v>2</v>
      </c>
      <c r="D157" s="6"/>
      <c r="E157" s="6">
        <v>2</v>
      </c>
    </row>
    <row r="158" spans="1:5" ht="15.75" thickBot="1" x14ac:dyDescent="0.3">
      <c r="A158" s="44" t="s">
        <v>273</v>
      </c>
      <c r="B158" s="24" t="s">
        <v>274</v>
      </c>
      <c r="C158" s="16">
        <v>6</v>
      </c>
      <c r="D158" s="16">
        <v>3</v>
      </c>
      <c r="E158" s="16">
        <v>3</v>
      </c>
    </row>
    <row r="159" spans="1:5" ht="15.75" thickBot="1" x14ac:dyDescent="0.3">
      <c r="A159" s="44" t="s">
        <v>275</v>
      </c>
      <c r="B159" s="24" t="s">
        <v>276</v>
      </c>
      <c r="C159" s="16">
        <v>2</v>
      </c>
      <c r="D159" s="16">
        <v>1</v>
      </c>
      <c r="E159" s="16">
        <v>1</v>
      </c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7" ht="15.75" thickBot="1" x14ac:dyDescent="0.3">
      <c r="A161" s="44"/>
      <c r="B161" s="30" t="s">
        <v>279</v>
      </c>
      <c r="C161" s="6"/>
      <c r="D161" s="6"/>
      <c r="E161" s="6"/>
    </row>
    <row r="162" spans="1:7" ht="15.75" thickBot="1" x14ac:dyDescent="0.3">
      <c r="A162" s="44" t="s">
        <v>280</v>
      </c>
      <c r="B162" s="24" t="s">
        <v>281</v>
      </c>
      <c r="C162" s="6">
        <v>5</v>
      </c>
      <c r="D162" s="6">
        <v>2</v>
      </c>
      <c r="E162" s="6">
        <v>3</v>
      </c>
    </row>
    <row r="163" spans="1:7" ht="15.75" thickBot="1" x14ac:dyDescent="0.3">
      <c r="A163" s="44" t="s">
        <v>282</v>
      </c>
      <c r="B163" s="24" t="s">
        <v>283</v>
      </c>
      <c r="C163" s="6">
        <v>3</v>
      </c>
      <c r="D163" s="6">
        <v>2</v>
      </c>
      <c r="E163" s="6">
        <v>1</v>
      </c>
    </row>
    <row r="164" spans="1:7" ht="24.75" thickBot="1" x14ac:dyDescent="0.3">
      <c r="A164" s="7" t="s">
        <v>284</v>
      </c>
      <c r="B164" s="23" t="s">
        <v>285</v>
      </c>
      <c r="C164" s="11">
        <v>13</v>
      </c>
      <c r="D164" s="11">
        <v>4</v>
      </c>
      <c r="E164" s="11">
        <v>9</v>
      </c>
      <c r="F164" s="52"/>
      <c r="G164" s="52"/>
    </row>
    <row r="165" spans="1:7" ht="24.75" thickBot="1" x14ac:dyDescent="0.3">
      <c r="A165" s="12" t="s">
        <v>286</v>
      </c>
      <c r="B165" s="26" t="s">
        <v>287</v>
      </c>
      <c r="C165" s="6">
        <v>7</v>
      </c>
      <c r="D165" s="6">
        <v>3</v>
      </c>
      <c r="E165" s="6">
        <v>4</v>
      </c>
    </row>
    <row r="166" spans="1:7" ht="24.75" thickBot="1" x14ac:dyDescent="0.3">
      <c r="A166" s="7" t="s">
        <v>288</v>
      </c>
      <c r="B166" s="23" t="s">
        <v>289</v>
      </c>
      <c r="C166" s="11">
        <v>6</v>
      </c>
      <c r="D166" s="11">
        <v>3</v>
      </c>
      <c r="E166" s="11">
        <v>3</v>
      </c>
    </row>
    <row r="167" spans="1:7" ht="24.75" thickBot="1" x14ac:dyDescent="0.3">
      <c r="A167" s="12" t="s">
        <v>291</v>
      </c>
      <c r="B167" s="26" t="s">
        <v>502</v>
      </c>
      <c r="C167" s="6">
        <v>6</v>
      </c>
      <c r="D167" s="6">
        <v>3</v>
      </c>
      <c r="E167" s="6">
        <v>3</v>
      </c>
    </row>
    <row r="168" spans="1:7" ht="24.75" thickBot="1" x14ac:dyDescent="0.3">
      <c r="A168" s="7" t="s">
        <v>293</v>
      </c>
      <c r="B168" s="23" t="s">
        <v>294</v>
      </c>
      <c r="C168" s="11"/>
      <c r="D168" s="11"/>
      <c r="E168" s="11"/>
    </row>
    <row r="169" spans="1:7" ht="15.75" thickBot="1" x14ac:dyDescent="0.3">
      <c r="A169" s="12" t="s">
        <v>295</v>
      </c>
      <c r="B169" s="26" t="s">
        <v>296</v>
      </c>
      <c r="C169" s="6"/>
      <c r="D169" s="6"/>
      <c r="E169" s="6"/>
    </row>
    <row r="170" spans="1:7" ht="15.75" thickBot="1" x14ac:dyDescent="0.3">
      <c r="A170" s="12" t="s">
        <v>297</v>
      </c>
      <c r="B170" s="26" t="s">
        <v>298</v>
      </c>
      <c r="C170" s="6"/>
      <c r="D170" s="6"/>
      <c r="E170" s="6"/>
    </row>
    <row r="171" spans="1:7" ht="24.75" thickBot="1" x14ac:dyDescent="0.3">
      <c r="A171" s="12" t="s">
        <v>299</v>
      </c>
      <c r="B171" s="26" t="s">
        <v>300</v>
      </c>
      <c r="C171" s="6"/>
      <c r="D171" s="6"/>
      <c r="E171" s="6"/>
    </row>
    <row r="172" spans="1:7" ht="24.75" thickBot="1" x14ac:dyDescent="0.3">
      <c r="A172" s="7" t="s">
        <v>301</v>
      </c>
      <c r="B172" s="23" t="s">
        <v>302</v>
      </c>
      <c r="C172" s="11"/>
      <c r="D172" s="11"/>
      <c r="E172" s="11"/>
    </row>
    <row r="173" spans="1:7" ht="24.75" thickBot="1" x14ac:dyDescent="0.3">
      <c r="A173" s="44" t="s">
        <v>303</v>
      </c>
      <c r="B173" s="24" t="s">
        <v>304</v>
      </c>
      <c r="C173" s="17"/>
      <c r="D173" s="17"/>
      <c r="E173" s="17"/>
    </row>
    <row r="174" spans="1:7" ht="24.75" thickBot="1" x14ac:dyDescent="0.3">
      <c r="A174" s="7" t="s">
        <v>305</v>
      </c>
      <c r="B174" s="23" t="s">
        <v>306</v>
      </c>
      <c r="C174" s="11"/>
      <c r="D174" s="11"/>
      <c r="E174" s="11"/>
    </row>
    <row r="175" spans="1:7" ht="36.75" thickBot="1" x14ac:dyDescent="0.3">
      <c r="A175" s="7" t="s">
        <v>307</v>
      </c>
      <c r="B175" s="23" t="s">
        <v>308</v>
      </c>
      <c r="C175" s="11"/>
      <c r="D175" s="11"/>
      <c r="E175" s="11">
        <v>0</v>
      </c>
    </row>
    <row r="176" spans="1:7" ht="36.75" thickBot="1" x14ac:dyDescent="0.3">
      <c r="A176" s="12" t="s">
        <v>309</v>
      </c>
      <c r="B176" s="26" t="s">
        <v>310</v>
      </c>
      <c r="C176" s="6">
        <v>0</v>
      </c>
      <c r="D176" s="6">
        <v>0</v>
      </c>
      <c r="E176" s="6">
        <v>0</v>
      </c>
    </row>
    <row r="177" spans="1:5" ht="48.75" thickBot="1" x14ac:dyDescent="0.3">
      <c r="A177" s="7" t="s">
        <v>311</v>
      </c>
      <c r="B177" s="23" t="s">
        <v>312</v>
      </c>
      <c r="C177" s="11"/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/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>
        <v>0</v>
      </c>
      <c r="D179" s="6">
        <v>0</v>
      </c>
      <c r="E179" s="6">
        <v>0</v>
      </c>
    </row>
    <row r="180" spans="1:5" ht="24.75" thickBot="1" x14ac:dyDescent="0.3">
      <c r="A180" s="7" t="s">
        <v>317</v>
      </c>
      <c r="B180" s="23" t="s">
        <v>318</v>
      </c>
      <c r="C180" s="11">
        <v>0</v>
      </c>
      <c r="D180" s="11" t="s">
        <v>290</v>
      </c>
      <c r="E180" s="11" t="s">
        <v>290</v>
      </c>
    </row>
    <row r="181" spans="1:5" ht="15.75" thickBot="1" x14ac:dyDescent="0.3">
      <c r="A181" s="12" t="s">
        <v>319</v>
      </c>
      <c r="B181" s="26" t="s">
        <v>320</v>
      </c>
      <c r="C181" s="6">
        <v>0</v>
      </c>
      <c r="D181" s="6" t="s">
        <v>290</v>
      </c>
      <c r="E181" s="6" t="s">
        <v>290</v>
      </c>
    </row>
    <row r="182" spans="1:5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</row>
    <row r="183" spans="1:5" ht="24.75" thickBot="1" x14ac:dyDescent="0.3">
      <c r="A183" s="18" t="s">
        <v>323</v>
      </c>
      <c r="B183" s="23" t="s">
        <v>324</v>
      </c>
      <c r="C183" s="11">
        <v>4</v>
      </c>
      <c r="D183" s="11">
        <v>3</v>
      </c>
      <c r="E183" s="11">
        <v>1</v>
      </c>
    </row>
    <row r="184" spans="1:5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</row>
    <row r="185" spans="1:5" ht="36.75" thickBot="1" x14ac:dyDescent="0.3">
      <c r="A185" s="18" t="s">
        <v>327</v>
      </c>
      <c r="B185" s="23" t="s">
        <v>328</v>
      </c>
      <c r="C185" s="11">
        <f>SUM(C186:C198)+C204</f>
        <v>11</v>
      </c>
      <c r="D185" s="11">
        <f t="shared" ref="D185:E185" si="4">SUM(D186:D198)+D204</f>
        <v>2</v>
      </c>
      <c r="E185" s="11">
        <f t="shared" si="4"/>
        <v>9</v>
      </c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>
        <v>1</v>
      </c>
      <c r="D194" s="6">
        <v>1</v>
      </c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8</v>
      </c>
      <c r="D198" s="6">
        <f t="shared" ref="D198:E198" si="5">SUM(D199:D209)</f>
        <v>1</v>
      </c>
      <c r="E198" s="6">
        <f t="shared" si="5"/>
        <v>7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/>
      <c r="D200" s="6"/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>
        <f>2</f>
        <v>2</v>
      </c>
      <c r="D204" s="6"/>
      <c r="E204" s="6">
        <f>2</f>
        <v>2</v>
      </c>
    </row>
    <row r="205" spans="1:5" ht="24.75" thickBot="1" x14ac:dyDescent="0.3">
      <c r="A205" s="12" t="s">
        <v>367</v>
      </c>
      <c r="B205" s="26" t="s">
        <v>368</v>
      </c>
      <c r="C205" s="6">
        <f>1</f>
        <v>1</v>
      </c>
      <c r="D205" s="6">
        <f>1</f>
        <v>1</v>
      </c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5" ht="48.75" thickBot="1" x14ac:dyDescent="0.3">
      <c r="A209" s="12" t="s">
        <v>375</v>
      </c>
      <c r="B209" s="26" t="s">
        <v>376</v>
      </c>
      <c r="C209" s="6">
        <v>5</v>
      </c>
      <c r="D209" s="6">
        <v>0</v>
      </c>
      <c r="E209" s="6">
        <v>5</v>
      </c>
    </row>
    <row r="210" spans="1:5" ht="36.75" thickBot="1" x14ac:dyDescent="0.3">
      <c r="A210" s="12" t="s">
        <v>377</v>
      </c>
      <c r="B210" s="26" t="s">
        <v>378</v>
      </c>
      <c r="C210" s="6">
        <v>5</v>
      </c>
      <c r="D210" s="6">
        <v>0</v>
      </c>
      <c r="E210" s="6">
        <v>5</v>
      </c>
    </row>
    <row r="211" spans="1:5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5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5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5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5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5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5" ht="15.75" thickBot="1" x14ac:dyDescent="0.3">
      <c r="A217" s="12" t="s">
        <v>391</v>
      </c>
      <c r="B217" s="26" t="s">
        <v>392</v>
      </c>
      <c r="C217" s="6">
        <v>2</v>
      </c>
      <c r="D217" s="6"/>
      <c r="E217" s="6">
        <v>2</v>
      </c>
    </row>
    <row r="218" spans="1:5" ht="15.75" thickBot="1" x14ac:dyDescent="0.3">
      <c r="A218" s="7" t="s">
        <v>393</v>
      </c>
      <c r="B218" s="23" t="s">
        <v>394</v>
      </c>
      <c r="C218" s="42"/>
      <c r="D218" s="42"/>
      <c r="E218" s="42"/>
    </row>
    <row r="219" spans="1:5" ht="36.75" thickBot="1" x14ac:dyDescent="0.3">
      <c r="A219" s="7" t="s">
        <v>395</v>
      </c>
      <c r="B219" s="23" t="s">
        <v>396</v>
      </c>
      <c r="C219" s="11">
        <f>SUM(C220:C232)+C249</f>
        <v>2</v>
      </c>
      <c r="D219" s="11">
        <f t="shared" ref="D219:E219" si="6">SUM(D220:D232)</f>
        <v>1</v>
      </c>
      <c r="E219" s="11">
        <f t="shared" si="6"/>
        <v>1</v>
      </c>
    </row>
    <row r="220" spans="1:5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5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5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5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5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>
        <v>1</v>
      </c>
      <c r="D228" s="6">
        <v>1</v>
      </c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>
        <f>SUM(C233:C243)</f>
        <v>1</v>
      </c>
      <c r="D232" s="6">
        <f t="shared" ref="D232:E232" si="7">SUM(D233:D243)</f>
        <v>0</v>
      </c>
      <c r="E232" s="6">
        <f t="shared" si="7"/>
        <v>1</v>
      </c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>
        <v>1</v>
      </c>
      <c r="D243" s="6"/>
      <c r="E243" s="6">
        <v>1</v>
      </c>
    </row>
    <row r="244" spans="1:5" ht="36.75" thickBot="1" x14ac:dyDescent="0.3">
      <c r="A244" s="12" t="s">
        <v>445</v>
      </c>
      <c r="B244" s="26" t="s">
        <v>446</v>
      </c>
      <c r="C244" s="6">
        <v>1</v>
      </c>
      <c r="D244" s="6"/>
      <c r="E244" s="6">
        <v>1</v>
      </c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>
        <v>0</v>
      </c>
      <c r="D252" s="11">
        <v>0</v>
      </c>
      <c r="E252" s="11">
        <v>0</v>
      </c>
    </row>
    <row r="253" spans="1:5" ht="48.75" thickBot="1" x14ac:dyDescent="0.3">
      <c r="A253" s="7" t="s">
        <v>462</v>
      </c>
      <c r="B253" s="23" t="s">
        <v>463</v>
      </c>
      <c r="C253" s="11">
        <v>0</v>
      </c>
      <c r="D253" s="11">
        <v>0</v>
      </c>
      <c r="E253" s="11">
        <v>0</v>
      </c>
    </row>
    <row r="254" spans="1:5" ht="24.75" thickBot="1" x14ac:dyDescent="0.3">
      <c r="A254" s="7" t="s">
        <v>464</v>
      </c>
      <c r="B254" s="23" t="s">
        <v>465</v>
      </c>
      <c r="C254" s="11">
        <v>0</v>
      </c>
      <c r="D254" s="11">
        <v>0</v>
      </c>
      <c r="E254" s="11">
        <v>0</v>
      </c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>
        <v>0</v>
      </c>
      <c r="D256" s="6">
        <v>0</v>
      </c>
      <c r="E256" s="6">
        <v>0</v>
      </c>
    </row>
    <row r="257" spans="1:5" ht="15.75" thickBot="1" x14ac:dyDescent="0.3">
      <c r="A257" s="10"/>
      <c r="B257" s="26" t="s">
        <v>470</v>
      </c>
      <c r="C257" s="6"/>
      <c r="D257" s="6"/>
      <c r="E257" s="6"/>
    </row>
    <row r="258" spans="1:5" ht="15.75" thickBot="1" x14ac:dyDescent="0.3">
      <c r="A258" s="10" t="s">
        <v>471</v>
      </c>
      <c r="B258" s="26" t="s">
        <v>472</v>
      </c>
      <c r="C258" s="6">
        <v>0</v>
      </c>
      <c r="D258" s="6">
        <v>0</v>
      </c>
      <c r="E258" s="6">
        <v>0</v>
      </c>
    </row>
    <row r="259" spans="1:5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5" ht="15.75" thickBot="1" x14ac:dyDescent="0.3">
      <c r="A260" s="10" t="s">
        <v>475</v>
      </c>
      <c r="B260" s="26" t="s">
        <v>476</v>
      </c>
      <c r="C260" s="6">
        <v>0</v>
      </c>
      <c r="D260" s="6">
        <v>0</v>
      </c>
      <c r="E260" s="6">
        <v>0</v>
      </c>
    </row>
    <row r="261" spans="1:5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5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5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5" ht="15.75" thickBot="1" x14ac:dyDescent="0.3">
      <c r="A264" s="10"/>
      <c r="B264" s="26" t="s">
        <v>470</v>
      </c>
      <c r="C264" s="6"/>
      <c r="D264" s="6"/>
      <c r="E264" s="6"/>
    </row>
    <row r="265" spans="1:5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5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5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5" ht="24" customHeight="1" x14ac:dyDescent="0.25">
      <c r="A268" s="82"/>
      <c r="B268" s="82"/>
      <c r="C268" s="82"/>
      <c r="D268" s="82"/>
      <c r="E268" s="82"/>
    </row>
    <row r="269" spans="1:5" ht="15" customHeight="1" x14ac:dyDescent="0.25">
      <c r="A269" s="19"/>
      <c r="B269" s="76"/>
      <c r="C269" s="76"/>
      <c r="D269" s="76"/>
      <c r="E269" s="76"/>
    </row>
    <row r="270" spans="1:5" ht="15.75" x14ac:dyDescent="0.25">
      <c r="A270" s="20"/>
    </row>
  </sheetData>
  <mergeCells count="13">
    <mergeCell ref="B269:E269"/>
    <mergeCell ref="A106:A107"/>
    <mergeCell ref="C106:C107"/>
    <mergeCell ref="D106:D107"/>
    <mergeCell ref="E106:E107"/>
    <mergeCell ref="A268:E268"/>
    <mergeCell ref="A1:E1"/>
    <mergeCell ref="A3:E3"/>
    <mergeCell ref="A4:E4"/>
    <mergeCell ref="A5:B5"/>
    <mergeCell ref="A7:A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Управление</vt:lpstr>
      <vt:lpstr>Волгоград</vt:lpstr>
      <vt:lpstr>Саратов</vt:lpstr>
      <vt:lpstr>Астрахань</vt:lpstr>
      <vt:lpstr>РК</vt:lpstr>
      <vt:lpstr>Пенза</vt:lpstr>
      <vt:lpstr>Астрахань!_Toc507508145</vt:lpstr>
      <vt:lpstr>Волгоград!_Toc507508145</vt:lpstr>
      <vt:lpstr>Пенза!_Toc507508145</vt:lpstr>
      <vt:lpstr>РК!_Toc507508145</vt:lpstr>
      <vt:lpstr>Саратов!_Toc507508145</vt:lpstr>
      <vt:lpstr>Управление!_Toc507508145</vt:lpstr>
      <vt:lpstr>Волгоград!Область_печати</vt:lpstr>
      <vt:lpstr>РК!Область_печати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Сергей Васильевич</dc:creator>
  <cp:lastModifiedBy>Хорошевская Ирина Ивановна</cp:lastModifiedBy>
  <cp:lastPrinted>2018-12-24T04:41:16Z</cp:lastPrinted>
  <dcterms:created xsi:type="dcterms:W3CDTF">2018-03-14T05:55:07Z</dcterms:created>
  <dcterms:modified xsi:type="dcterms:W3CDTF">2020-06-08T07:24:03Z</dcterms:modified>
</cp:coreProperties>
</file>