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9410" windowHeight="11010"/>
  </bookViews>
  <sheets>
    <sheet name="Лист1" sheetId="1" r:id="rId1"/>
    <sheet name="Лист2" sheetId="2" r:id="rId2"/>
    <sheet name="Лист3" sheetId="3" r:id="rId3"/>
  </sheets>
  <definedNames>
    <definedName name="_Toc507508150" localSheetId="0">Лист1!$A$1</definedName>
  </definedNames>
  <calcPr calcId="145621"/>
</workbook>
</file>

<file path=xl/calcChain.xml><?xml version="1.0" encoding="utf-8"?>
<calcChain xmlns="http://schemas.openxmlformats.org/spreadsheetml/2006/main">
  <c r="T95" i="1" l="1"/>
  <c r="S95" i="1"/>
  <c r="R95" i="1"/>
  <c r="Q95" i="1"/>
  <c r="H95" i="1"/>
  <c r="G95" i="1"/>
  <c r="F95" i="1"/>
  <c r="E95" i="1"/>
  <c r="D95" i="1"/>
  <c r="C95" i="1"/>
  <c r="T89" i="1"/>
  <c r="S89" i="1"/>
  <c r="R89" i="1"/>
  <c r="Q89" i="1"/>
  <c r="P89" i="1"/>
  <c r="O89" i="1"/>
  <c r="N89" i="1"/>
  <c r="M89" i="1"/>
  <c r="H89" i="1"/>
  <c r="G89" i="1"/>
  <c r="F89" i="1"/>
  <c r="E89" i="1"/>
  <c r="C89" i="1"/>
  <c r="T88" i="1"/>
  <c r="S88" i="1"/>
  <c r="R88" i="1"/>
  <c r="Q88" i="1"/>
  <c r="P88" i="1"/>
  <c r="O88" i="1"/>
  <c r="N88" i="1"/>
  <c r="M88" i="1"/>
  <c r="H88" i="1"/>
  <c r="G88" i="1"/>
  <c r="F88" i="1"/>
  <c r="E88" i="1"/>
  <c r="C88" i="1"/>
  <c r="S78" i="1"/>
  <c r="R78" i="1"/>
  <c r="Q78" i="1"/>
  <c r="H78" i="1"/>
  <c r="G78" i="1"/>
  <c r="F78" i="1"/>
  <c r="E78" i="1"/>
  <c r="D78" i="1"/>
  <c r="C78" i="1"/>
  <c r="T71" i="1"/>
  <c r="S71" i="1"/>
  <c r="R71" i="1"/>
  <c r="Q71" i="1"/>
  <c r="P71" i="1"/>
  <c r="O71" i="1"/>
  <c r="N71" i="1"/>
  <c r="M71" i="1"/>
  <c r="H71" i="1"/>
  <c r="G71" i="1"/>
  <c r="F71" i="1"/>
  <c r="E71" i="1"/>
  <c r="D71" i="1"/>
  <c r="C71" i="1"/>
  <c r="T69" i="1"/>
  <c r="S69" i="1"/>
  <c r="R69" i="1"/>
  <c r="Q69" i="1"/>
  <c r="P69" i="1"/>
  <c r="O69" i="1"/>
  <c r="N69" i="1"/>
  <c r="M69" i="1"/>
  <c r="H69" i="1"/>
  <c r="G69" i="1"/>
  <c r="F69" i="1"/>
  <c r="E69" i="1"/>
  <c r="D69" i="1"/>
  <c r="C69" i="1"/>
  <c r="S68" i="1"/>
  <c r="Q68" i="1"/>
  <c r="G68" i="1"/>
  <c r="F68" i="1"/>
  <c r="E68" i="1"/>
  <c r="D68" i="1"/>
  <c r="C68" i="1"/>
  <c r="G63" i="1"/>
  <c r="F63" i="1"/>
  <c r="E63" i="1"/>
  <c r="C63" i="1"/>
  <c r="T61" i="1"/>
  <c r="S61" i="1"/>
  <c r="R61" i="1"/>
  <c r="Q61" i="1"/>
  <c r="P61" i="1"/>
  <c r="O61" i="1"/>
  <c r="N61" i="1"/>
  <c r="M61" i="1"/>
  <c r="H61" i="1"/>
  <c r="G61" i="1"/>
  <c r="F61" i="1"/>
  <c r="E61" i="1"/>
  <c r="C61" i="1"/>
  <c r="O57" i="1"/>
  <c r="M57" i="1"/>
  <c r="G57" i="1"/>
  <c r="C57" i="1"/>
  <c r="S52" i="1"/>
  <c r="Q52" i="1"/>
  <c r="P52" i="1"/>
  <c r="O52" i="1"/>
  <c r="N52" i="1"/>
  <c r="M52" i="1"/>
  <c r="H52" i="1"/>
  <c r="G52" i="1"/>
  <c r="F52" i="1"/>
  <c r="E52" i="1"/>
  <c r="C52" i="1"/>
  <c r="T51" i="1"/>
  <c r="S51" i="1"/>
  <c r="R51" i="1"/>
  <c r="Q51" i="1"/>
  <c r="P51" i="1"/>
  <c r="N51" i="1"/>
  <c r="M51" i="1"/>
  <c r="H51" i="1"/>
  <c r="G51" i="1"/>
  <c r="F51" i="1"/>
  <c r="E51" i="1"/>
  <c r="D51" i="1"/>
  <c r="C51" i="1"/>
  <c r="H50" i="1"/>
  <c r="G50" i="1"/>
  <c r="F50" i="1"/>
  <c r="E50" i="1"/>
  <c r="C50" i="1"/>
  <c r="T46" i="1"/>
  <c r="S46" i="1"/>
  <c r="R46" i="1"/>
  <c r="Q46" i="1"/>
  <c r="P46" i="1"/>
  <c r="O46" i="1"/>
  <c r="N46" i="1"/>
  <c r="M46" i="1"/>
  <c r="H46" i="1"/>
  <c r="G46" i="1"/>
  <c r="F46" i="1"/>
  <c r="E46" i="1"/>
  <c r="C46" i="1"/>
  <c r="T45" i="1"/>
  <c r="S45" i="1"/>
  <c r="R45" i="1"/>
  <c r="Q45" i="1"/>
  <c r="P45" i="1"/>
  <c r="O45" i="1"/>
  <c r="N45" i="1"/>
  <c r="M45" i="1"/>
  <c r="K45" i="1"/>
  <c r="I45" i="1"/>
  <c r="H45" i="1"/>
  <c r="G45" i="1"/>
  <c r="F45" i="1"/>
  <c r="E45" i="1"/>
  <c r="D45" i="1"/>
  <c r="C45" i="1"/>
  <c r="S31" i="1"/>
  <c r="Q31" i="1"/>
  <c r="H31" i="1"/>
  <c r="G31" i="1"/>
  <c r="F31" i="1"/>
  <c r="E31" i="1"/>
  <c r="D31" i="1"/>
  <c r="C31" i="1"/>
  <c r="E29" i="1"/>
  <c r="D29" i="1"/>
  <c r="C29" i="1"/>
  <c r="T27" i="1"/>
  <c r="S27" i="1"/>
  <c r="R27" i="1"/>
  <c r="Q27" i="1"/>
  <c r="P27" i="1"/>
  <c r="O27" i="1"/>
  <c r="N27" i="1"/>
  <c r="M27" i="1"/>
  <c r="H27" i="1"/>
  <c r="G27" i="1"/>
  <c r="F27" i="1"/>
  <c r="E27" i="1"/>
  <c r="D27" i="1"/>
  <c r="C27" i="1"/>
  <c r="E26" i="1"/>
  <c r="D26" i="1"/>
  <c r="C26" i="1"/>
  <c r="T22" i="1"/>
  <c r="S22" i="1"/>
  <c r="R22" i="1"/>
  <c r="Q22" i="1"/>
  <c r="P22" i="1"/>
  <c r="O22" i="1"/>
  <c r="N22" i="1"/>
  <c r="M22" i="1"/>
  <c r="H22" i="1"/>
  <c r="G22" i="1"/>
  <c r="F22" i="1"/>
  <c r="E22" i="1"/>
  <c r="C22" i="1"/>
  <c r="T21" i="1"/>
  <c r="S21" i="1"/>
  <c r="R21" i="1"/>
  <c r="Q21" i="1"/>
  <c r="P21" i="1"/>
  <c r="O21" i="1"/>
  <c r="N21" i="1"/>
  <c r="M21" i="1"/>
  <c r="H21" i="1"/>
  <c r="G21" i="1"/>
  <c r="F21" i="1"/>
  <c r="E21" i="1"/>
  <c r="D21" i="1"/>
  <c r="C21" i="1"/>
  <c r="T17" i="1"/>
  <c r="S17" i="1"/>
  <c r="R17" i="1"/>
  <c r="Q17" i="1"/>
  <c r="P17" i="1"/>
  <c r="O17" i="1"/>
  <c r="N17" i="1"/>
  <c r="M17" i="1"/>
  <c r="H17" i="1"/>
  <c r="G17" i="1"/>
  <c r="F17" i="1"/>
  <c r="E17" i="1"/>
  <c r="D17" i="1"/>
  <c r="C17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H14" i="1"/>
  <c r="G14" i="1"/>
  <c r="F14" i="1"/>
  <c r="E14" i="1"/>
  <c r="D14" i="1"/>
  <c r="C14" i="1"/>
  <c r="D13" i="1"/>
  <c r="C13" i="1"/>
  <c r="F12" i="1"/>
  <c r="E12" i="1"/>
  <c r="D12" i="1"/>
  <c r="C12" i="1"/>
  <c r="T78" i="1" l="1"/>
  <c r="D52" i="1"/>
  <c r="O95" i="1" l="1"/>
  <c r="M95" i="1"/>
  <c r="D101" i="1" l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C101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C79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C32" i="1"/>
  <c r="L102" i="1" l="1"/>
  <c r="K102" i="1"/>
  <c r="J102" i="1"/>
  <c r="I102" i="1"/>
  <c r="P102" i="1"/>
  <c r="T102" i="1"/>
  <c r="Q102" i="1"/>
  <c r="O102" i="1"/>
  <c r="M102" i="1"/>
  <c r="H102" i="1"/>
  <c r="G102" i="1"/>
  <c r="E102" i="1"/>
  <c r="D102" i="1"/>
  <c r="C102" i="1"/>
  <c r="F102" i="1"/>
  <c r="S102" i="1"/>
  <c r="R102" i="1"/>
  <c r="N102" i="1"/>
</calcChain>
</file>

<file path=xl/sharedStrings.xml><?xml version="1.0" encoding="utf-8"?>
<sst xmlns="http://schemas.openxmlformats.org/spreadsheetml/2006/main" count="132" uniqueCount="109">
  <si>
    <t>Форма УТ-К</t>
  </si>
  <si>
    <t>Сведения об административных наказаниях, примененных</t>
  </si>
  <si>
    <t xml:space="preserve">           (3, 6, 9 месяцев и год)</t>
  </si>
  <si>
    <t>№ п/п</t>
  </si>
  <si>
    <t>№ статьи КоАП</t>
  </si>
  <si>
    <t>(с указанием части статьи)</t>
  </si>
  <si>
    <t>Число дел об административных правонарушениях, единиц</t>
  </si>
  <si>
    <t>Наложено административных штрафов, единиц</t>
  </si>
  <si>
    <t>Сумма наложенного штрафа, тыс. руб.</t>
  </si>
  <si>
    <t>Сумма взысканного штрафа, тыс. руб.</t>
  </si>
  <si>
    <t>Сведения о примененных наказаниях (штрафах) к</t>
  </si>
  <si>
    <t>Возбужденных должностными лицами</t>
  </si>
  <si>
    <t>из них направленных в другие органы</t>
  </si>
  <si>
    <t>рассмотренных в установленном порядке</t>
  </si>
  <si>
    <t>Гражданам (Г)</t>
  </si>
  <si>
    <t>Должностным лицам (Д)</t>
  </si>
  <si>
    <t>Юридическим лицам (Ю)</t>
  </si>
  <si>
    <t>Количество</t>
  </si>
  <si>
    <t>Сумма, тыс. руб.</t>
  </si>
  <si>
    <t>наложенных</t>
  </si>
  <si>
    <t>взысканных</t>
  </si>
  <si>
    <t>В сфере государственного энергетического надзора</t>
  </si>
  <si>
    <t xml:space="preserve">Статья 7.19 </t>
  </si>
  <si>
    <t>Статья 9.7</t>
  </si>
  <si>
    <t>Статья 9.8</t>
  </si>
  <si>
    <t>Статья 9.9</t>
  </si>
  <si>
    <t>Статья 9.10*</t>
  </si>
  <si>
    <t>Статья 9.11</t>
  </si>
  <si>
    <t>Части 7, 8 и 10* Статьи 9.16</t>
  </si>
  <si>
    <t>Статья 9.17</t>
  </si>
  <si>
    <t>Статья 9.18</t>
  </si>
  <si>
    <t xml:space="preserve">Части 1-6 статья 9.22 </t>
  </si>
  <si>
    <t>Статья 14.61</t>
  </si>
  <si>
    <t>Части 1, 2 Статьи 14.43</t>
  </si>
  <si>
    <t xml:space="preserve">Статья 17.7 </t>
  </si>
  <si>
    <t xml:space="preserve">Статья 17.9 </t>
  </si>
  <si>
    <t>Часть 1 Статьи 19.4</t>
  </si>
  <si>
    <t>Часть 1 Статьи 19.5</t>
  </si>
  <si>
    <t>Статья 19.6</t>
  </si>
  <si>
    <t>Статья 19.7</t>
  </si>
  <si>
    <t xml:space="preserve">Статья 19.20 </t>
  </si>
  <si>
    <t>Часть 1 статьи 20.25</t>
  </si>
  <si>
    <t>Всего</t>
  </si>
  <si>
    <t>В сфере безопасного ведения работ, связанных с пользованием недрами, промышленной безопасности и безопасности гидротехнических сооружений</t>
  </si>
  <si>
    <t>Часть 2 Статьи 7.2*</t>
  </si>
  <si>
    <t>Часть 2 Статьи 7.3*</t>
  </si>
  <si>
    <t>Статья 7.4*</t>
  </si>
  <si>
    <t xml:space="preserve">Статья 7.5 </t>
  </si>
  <si>
    <t>Статья 7.7</t>
  </si>
  <si>
    <t>Статья 7.10*</t>
  </si>
  <si>
    <r>
      <t>Статья</t>
    </r>
    <r>
      <rPr>
        <b/>
        <vertAlign val="superscript"/>
        <sz val="9"/>
        <color theme="1"/>
        <rFont val="Times New Roman"/>
        <family val="1"/>
        <charset val="204"/>
      </rPr>
      <t xml:space="preserve"> </t>
    </r>
    <r>
      <rPr>
        <b/>
        <sz val="9"/>
        <color theme="1"/>
        <rFont val="Arial"/>
        <family val="2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>8.7*</t>
    </r>
  </si>
  <si>
    <t>Часть 2 Статьи 8.10</t>
  </si>
  <si>
    <t>Части 1 и 3 Статьи 8.17</t>
  </si>
  <si>
    <t>Статья 8.19*</t>
  </si>
  <si>
    <t>Статья 8.39*</t>
  </si>
  <si>
    <t>Статья 9.1*</t>
  </si>
  <si>
    <t>Статья 9.2*</t>
  </si>
  <si>
    <t xml:space="preserve">Часть 2 Статьи 9.5 </t>
  </si>
  <si>
    <t xml:space="preserve">Статья 9.7 </t>
  </si>
  <si>
    <t xml:space="preserve">Статья 9.8 </t>
  </si>
  <si>
    <t xml:space="preserve">Статья 9.11 </t>
  </si>
  <si>
    <t>Статья 9.19</t>
  </si>
  <si>
    <t>Часть 7 статьи 9.22</t>
  </si>
  <si>
    <t>Статья 10.10*</t>
  </si>
  <si>
    <t>Статья 11.6*</t>
  </si>
  <si>
    <t>Часть 3 статьи 11.14</t>
  </si>
  <si>
    <t>Статья 11.20</t>
  </si>
  <si>
    <t>Статья 11.20.1</t>
  </si>
  <si>
    <t xml:space="preserve">Части 2,3 и 4 Статьи 14.1 </t>
  </si>
  <si>
    <t>Статья 14.26</t>
  </si>
  <si>
    <t>Части 1 и 2 статьи 14.43</t>
  </si>
  <si>
    <t>Статья 14.44*</t>
  </si>
  <si>
    <t>Статья 14.61*</t>
  </si>
  <si>
    <t>Статья 17.7</t>
  </si>
  <si>
    <t>Статья 17.9</t>
  </si>
  <si>
    <t>Статья 19.2</t>
  </si>
  <si>
    <t>Статья 19.4</t>
  </si>
  <si>
    <r>
      <t>Статья 19.4.1</t>
    </r>
    <r>
      <rPr>
        <b/>
        <sz val="9"/>
        <color rgb="FF000000"/>
        <rFont val="Times New Roman"/>
        <family val="1"/>
        <charset val="204"/>
      </rPr>
      <t>.</t>
    </r>
  </si>
  <si>
    <t>Части 1, 11, 15 и 20.1. статьи 19.5</t>
  </si>
  <si>
    <t xml:space="preserve">Части 1 и 2 статьи 19.19 </t>
  </si>
  <si>
    <t>Статья 19.20</t>
  </si>
  <si>
    <t>Статья 19.22*</t>
  </si>
  <si>
    <t>Часть 1 статьи 19.26</t>
  </si>
  <si>
    <t>Статья 19.33</t>
  </si>
  <si>
    <t xml:space="preserve">Части 1-3 статьи 20.4 </t>
  </si>
  <si>
    <t>Части 1 статьи 20.25</t>
  </si>
  <si>
    <t>Всего:</t>
  </si>
  <si>
    <t>В сфере государственного строительного надзора</t>
  </si>
  <si>
    <t>Статья 6.3</t>
  </si>
  <si>
    <t>Статья 8.1</t>
  </si>
  <si>
    <t>Статья 8.2</t>
  </si>
  <si>
    <t>Статья 8.4</t>
  </si>
  <si>
    <t>Часть 1 Статьи 8.6</t>
  </si>
  <si>
    <t>Статья 8.21</t>
  </si>
  <si>
    <t>Статья 8.41</t>
  </si>
  <si>
    <t>Статья 9.4</t>
  </si>
  <si>
    <t>Статья 9.5</t>
  </si>
  <si>
    <t>Статья 9.5.1</t>
  </si>
  <si>
    <t>Часть 3 Статьи 9.16</t>
  </si>
  <si>
    <t>Часть 1 статьи 19.4</t>
  </si>
  <si>
    <t>Часть 1 и 6 статьи 19.5</t>
  </si>
  <si>
    <t>Части 1,2,3 и 6 Статьи 20.4</t>
  </si>
  <si>
    <t>Часть 1 Статьи 20.25</t>
  </si>
  <si>
    <t>В целом по территориальному органу</t>
  </si>
  <si>
    <t xml:space="preserve">                 (ФИО и подпись руководителя  территориального органа Ростехнадзора, дата)</t>
  </si>
  <si>
    <t>* - в части, определенной Кодексом Российской Федерации об административных правонарушениях от 30 декабря 2001 г. № 195-ФЗ</t>
  </si>
  <si>
    <t xml:space="preserve">  </t>
  </si>
  <si>
    <t xml:space="preserve">              (наименование территориального органа Ростехнадзора)</t>
  </si>
  <si>
    <t>Нижне-Волжским  управлением   Ростехнадзора    за                 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</si>
</sst>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i/>
      <sz val="9.5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vertical="top" wrapText="1"/>
    </xf>
    <xf numFmtId="0" fontId="8" fillId="3" borderId="7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14" fontId="0" fillId="0" borderId="0" xfId="0" applyNumberFormat="1" applyProtection="1">
      <protection locked="0"/>
    </xf>
    <xf numFmtId="0" fontId="20" fillId="0" borderId="16" xfId="0" applyFont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20" fillId="5" borderId="16" xfId="0" applyFont="1" applyFill="1" applyBorder="1" applyAlignment="1" applyProtection="1">
      <alignment horizontal="center" vertical="top" wrapText="1"/>
      <protection locked="0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tabSelected="1" workbookViewId="0">
      <selection activeCell="A104" sqref="A104:F104"/>
    </sheetView>
  </sheetViews>
  <sheetFormatPr defaultRowHeight="15" x14ac:dyDescent="0.25"/>
  <cols>
    <col min="2" max="2" width="16.85546875" customWidth="1"/>
    <col min="5" max="5" width="10.140625" bestFit="1" customWidth="1"/>
    <col min="8" max="8" width="9.42578125" bestFit="1" customWidth="1"/>
    <col min="9" max="9" width="7" customWidth="1"/>
    <col min="10" max="10" width="7.5703125" customWidth="1"/>
    <col min="11" max="11" width="7.7109375" customWidth="1"/>
    <col min="12" max="12" width="8.42578125" customWidth="1"/>
  </cols>
  <sheetData>
    <row r="1" spans="1:20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41.25" customHeight="1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5.75" x14ac:dyDescent="0.25">
      <c r="A3" s="42" t="s">
        <v>108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8.75" x14ac:dyDescent="0.25">
      <c r="A4" s="1"/>
      <c r="C4" s="1" t="s">
        <v>106</v>
      </c>
      <c r="F4" s="43" t="s">
        <v>107</v>
      </c>
      <c r="G4" s="43"/>
      <c r="H4" s="43"/>
      <c r="I4" s="43"/>
      <c r="J4" s="43"/>
      <c r="K4" s="43"/>
      <c r="L4" s="43" t="s">
        <v>2</v>
      </c>
      <c r="M4" s="43"/>
      <c r="N4" s="43"/>
    </row>
    <row r="5" spans="1:20" ht="15.75" thickBot="1" x14ac:dyDescent="0.3">
      <c r="A5" s="2"/>
    </row>
    <row r="6" spans="1:20" ht="21.75" customHeight="1" thickBot="1" x14ac:dyDescent="0.3">
      <c r="A6" s="50" t="s">
        <v>3</v>
      </c>
      <c r="B6" s="11" t="s">
        <v>4</v>
      </c>
      <c r="C6" s="53" t="s">
        <v>6</v>
      </c>
      <c r="D6" s="54"/>
      <c r="E6" s="55"/>
      <c r="F6" s="56" t="s">
        <v>7</v>
      </c>
      <c r="G6" s="56" t="s">
        <v>8</v>
      </c>
      <c r="H6" s="56" t="s">
        <v>9</v>
      </c>
      <c r="I6" s="46" t="s">
        <v>10</v>
      </c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</row>
    <row r="7" spans="1:20" ht="48.75" customHeight="1" thickBot="1" x14ac:dyDescent="0.3">
      <c r="A7" s="51"/>
      <c r="B7" s="44" t="s">
        <v>5</v>
      </c>
      <c r="C7" s="56" t="s">
        <v>11</v>
      </c>
      <c r="D7" s="57" t="s">
        <v>12</v>
      </c>
      <c r="E7" s="57" t="s">
        <v>13</v>
      </c>
      <c r="F7" s="57"/>
      <c r="G7" s="57"/>
      <c r="H7" s="57"/>
      <c r="I7" s="46" t="s">
        <v>14</v>
      </c>
      <c r="J7" s="47"/>
      <c r="K7" s="47"/>
      <c r="L7" s="48"/>
      <c r="M7" s="46" t="s">
        <v>15</v>
      </c>
      <c r="N7" s="47"/>
      <c r="O7" s="47"/>
      <c r="P7" s="48"/>
      <c r="Q7" s="46" t="s">
        <v>16</v>
      </c>
      <c r="R7" s="47"/>
      <c r="S7" s="47"/>
      <c r="T7" s="49"/>
    </row>
    <row r="8" spans="1:20" ht="15.75" thickBot="1" x14ac:dyDescent="0.3">
      <c r="A8" s="51"/>
      <c r="B8" s="44"/>
      <c r="C8" s="57"/>
      <c r="D8" s="57"/>
      <c r="E8" s="57"/>
      <c r="F8" s="57"/>
      <c r="G8" s="57"/>
      <c r="H8" s="57"/>
      <c r="I8" s="46" t="s">
        <v>17</v>
      </c>
      <c r="J8" s="48"/>
      <c r="K8" s="46" t="s">
        <v>18</v>
      </c>
      <c r="L8" s="48"/>
      <c r="M8" s="46" t="s">
        <v>17</v>
      </c>
      <c r="N8" s="48"/>
      <c r="O8" s="46" t="s">
        <v>18</v>
      </c>
      <c r="P8" s="48"/>
      <c r="Q8" s="46" t="s">
        <v>17</v>
      </c>
      <c r="R8" s="48"/>
      <c r="S8" s="46" t="s">
        <v>18</v>
      </c>
      <c r="T8" s="48"/>
    </row>
    <row r="9" spans="1:20" ht="63.75" customHeight="1" thickBot="1" x14ac:dyDescent="0.3">
      <c r="A9" s="52"/>
      <c r="B9" s="45"/>
      <c r="C9" s="58"/>
      <c r="D9" s="58"/>
      <c r="E9" s="58"/>
      <c r="F9" s="58"/>
      <c r="G9" s="58"/>
      <c r="H9" s="58"/>
      <c r="I9" s="9" t="s">
        <v>19</v>
      </c>
      <c r="J9" s="9" t="s">
        <v>20</v>
      </c>
      <c r="K9" s="9" t="s">
        <v>19</v>
      </c>
      <c r="L9" s="9" t="s">
        <v>20</v>
      </c>
      <c r="M9" s="10" t="s">
        <v>19</v>
      </c>
      <c r="N9" s="10" t="s">
        <v>20</v>
      </c>
      <c r="O9" s="10" t="s">
        <v>19</v>
      </c>
      <c r="P9" s="10" t="s">
        <v>20</v>
      </c>
      <c r="Q9" s="10" t="s">
        <v>19</v>
      </c>
      <c r="R9" s="10" t="s">
        <v>20</v>
      </c>
      <c r="S9" s="10" t="s">
        <v>19</v>
      </c>
      <c r="T9" s="10" t="s">
        <v>20</v>
      </c>
    </row>
    <row r="10" spans="1:20" ht="15.75" thickBot="1" x14ac:dyDescent="0.3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5">
        <v>9</v>
      </c>
      <c r="J10" s="5">
        <v>10</v>
      </c>
      <c r="K10" s="5">
        <v>11</v>
      </c>
      <c r="L10" s="5">
        <v>12</v>
      </c>
      <c r="M10" s="4">
        <v>13</v>
      </c>
      <c r="N10" s="4">
        <v>14</v>
      </c>
      <c r="O10" s="4">
        <v>15</v>
      </c>
      <c r="P10" s="4">
        <v>16</v>
      </c>
      <c r="Q10" s="4">
        <v>17</v>
      </c>
      <c r="R10" s="4">
        <v>18</v>
      </c>
      <c r="S10" s="4">
        <v>19</v>
      </c>
      <c r="T10" s="4">
        <v>20</v>
      </c>
    </row>
    <row r="11" spans="1:20" ht="15.75" thickBot="1" x14ac:dyDescent="0.3">
      <c r="A11" s="34" t="s">
        <v>21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/>
    </row>
    <row r="12" spans="1:20" ht="15.75" thickBot="1" x14ac:dyDescent="0.3">
      <c r="A12" s="13">
        <v>1</v>
      </c>
      <c r="B12" s="14" t="s">
        <v>22</v>
      </c>
      <c r="C12" s="24">
        <f>3+1</f>
        <v>4</v>
      </c>
      <c r="D12" s="24">
        <f>3+1</f>
        <v>4</v>
      </c>
      <c r="E12" s="24">
        <f>3+0</f>
        <v>3</v>
      </c>
      <c r="F12" s="24">
        <f>0+0</f>
        <v>0</v>
      </c>
      <c r="G12" s="24">
        <v>0</v>
      </c>
      <c r="H12" s="24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</row>
    <row r="13" spans="1:20" ht="15.75" thickBot="1" x14ac:dyDescent="0.3">
      <c r="A13" s="13">
        <v>2</v>
      </c>
      <c r="B13" s="15" t="s">
        <v>23</v>
      </c>
      <c r="C13" s="24">
        <f>5+1</f>
        <v>6</v>
      </c>
      <c r="D13" s="24">
        <f>0+1</f>
        <v>1</v>
      </c>
      <c r="E13" s="24">
        <v>5</v>
      </c>
      <c r="F13" s="24">
        <v>5</v>
      </c>
      <c r="G13" s="24">
        <v>96</v>
      </c>
      <c r="H13" s="24">
        <v>66</v>
      </c>
      <c r="I13" s="25">
        <v>0</v>
      </c>
      <c r="J13" s="25">
        <v>0</v>
      </c>
      <c r="K13" s="25">
        <v>0</v>
      </c>
      <c r="L13" s="25">
        <v>0</v>
      </c>
      <c r="M13" s="25">
        <v>2</v>
      </c>
      <c r="N13" s="25">
        <v>2</v>
      </c>
      <c r="O13" s="25">
        <v>6</v>
      </c>
      <c r="P13" s="25">
        <v>6</v>
      </c>
      <c r="Q13" s="25">
        <v>3</v>
      </c>
      <c r="R13" s="25">
        <v>2</v>
      </c>
      <c r="S13" s="25">
        <v>90</v>
      </c>
      <c r="T13" s="25">
        <v>60</v>
      </c>
    </row>
    <row r="14" spans="1:20" ht="15.75" thickBot="1" x14ac:dyDescent="0.3">
      <c r="A14" s="13">
        <v>3</v>
      </c>
      <c r="B14" s="15" t="s">
        <v>24</v>
      </c>
      <c r="C14" s="24">
        <f>3+2</f>
        <v>5</v>
      </c>
      <c r="D14" s="24">
        <f>0+0</f>
        <v>0</v>
      </c>
      <c r="E14" s="24">
        <f>3+2</f>
        <v>5</v>
      </c>
      <c r="F14" s="24">
        <f>3+2</f>
        <v>5</v>
      </c>
      <c r="G14" s="24">
        <f>21+1.5</f>
        <v>22.5</v>
      </c>
      <c r="H14" s="24">
        <f>10+1.5</f>
        <v>11.5</v>
      </c>
      <c r="I14" s="25">
        <v>0</v>
      </c>
      <c r="J14" s="25">
        <v>0</v>
      </c>
      <c r="K14" s="25">
        <v>0</v>
      </c>
      <c r="L14" s="25">
        <v>0</v>
      </c>
      <c r="M14" s="25">
        <f>1+2</f>
        <v>3</v>
      </c>
      <c r="N14" s="25">
        <f>0+2</f>
        <v>2</v>
      </c>
      <c r="O14" s="25">
        <f>1+1.5</f>
        <v>2.5</v>
      </c>
      <c r="P14" s="25">
        <f>0+1.5</f>
        <v>1.5</v>
      </c>
      <c r="Q14" s="25">
        <v>2</v>
      </c>
      <c r="R14" s="25">
        <v>1</v>
      </c>
      <c r="S14" s="25">
        <v>20</v>
      </c>
      <c r="T14" s="25">
        <v>10</v>
      </c>
    </row>
    <row r="15" spans="1:20" ht="15.75" thickBot="1" x14ac:dyDescent="0.3">
      <c r="A15" s="13">
        <v>4</v>
      </c>
      <c r="B15" s="15" t="s">
        <v>25</v>
      </c>
      <c r="C15" s="24">
        <f>7+2+3</f>
        <v>12</v>
      </c>
      <c r="D15" s="24">
        <f>0+0+3</f>
        <v>3</v>
      </c>
      <c r="E15" s="24">
        <f>7+2+1</f>
        <v>10</v>
      </c>
      <c r="F15" s="24">
        <f>7+2+1</f>
        <v>10</v>
      </c>
      <c r="G15" s="24">
        <f>39+20+1</f>
        <v>60</v>
      </c>
      <c r="H15" s="24">
        <f>39+10+1</f>
        <v>50</v>
      </c>
      <c r="I15" s="25">
        <f>0+0+1</f>
        <v>1</v>
      </c>
      <c r="J15" s="25">
        <f>0+0+1</f>
        <v>1</v>
      </c>
      <c r="K15" s="25">
        <f>0+0+1</f>
        <v>1</v>
      </c>
      <c r="L15" s="25">
        <f>0+0+1</f>
        <v>1</v>
      </c>
      <c r="M15" s="25">
        <f>4+0+1</f>
        <v>5</v>
      </c>
      <c r="N15" s="25">
        <f>4+0+1</f>
        <v>5</v>
      </c>
      <c r="O15" s="25">
        <f>4+0+1</f>
        <v>5</v>
      </c>
      <c r="P15" s="25">
        <f>4+0+1</f>
        <v>5</v>
      </c>
      <c r="Q15" s="25">
        <f>3+2+1</f>
        <v>6</v>
      </c>
      <c r="R15" s="25">
        <f>3+1+1</f>
        <v>5</v>
      </c>
      <c r="S15" s="25">
        <f>35+20+1</f>
        <v>56</v>
      </c>
      <c r="T15" s="25">
        <f>35+10+1</f>
        <v>46</v>
      </c>
    </row>
    <row r="16" spans="1:20" ht="15.75" thickBot="1" x14ac:dyDescent="0.3">
      <c r="A16" s="13">
        <v>5</v>
      </c>
      <c r="B16" s="15" t="s">
        <v>26</v>
      </c>
      <c r="C16" s="24"/>
      <c r="D16" s="24"/>
      <c r="E16" s="24"/>
      <c r="F16" s="2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ht="15.75" thickBot="1" x14ac:dyDescent="0.3">
      <c r="A17" s="13">
        <v>6</v>
      </c>
      <c r="B17" s="15" t="s">
        <v>27</v>
      </c>
      <c r="C17" s="24">
        <f>242+391+206+115+537</f>
        <v>1491</v>
      </c>
      <c r="D17" s="24">
        <f>0+4+5+2</f>
        <v>11</v>
      </c>
      <c r="E17" s="24">
        <f>197+390+204+115+531</f>
        <v>1437</v>
      </c>
      <c r="F17" s="24">
        <f>196+385+204+110+520</f>
        <v>1415</v>
      </c>
      <c r="G17" s="24">
        <f>1522.4+3488.1+1758+473+4635</f>
        <v>11876.5</v>
      </c>
      <c r="H17" s="24">
        <f>1111.4+2884.1+1134+319+3119</f>
        <v>8567.5</v>
      </c>
      <c r="I17" s="25">
        <v>0</v>
      </c>
      <c r="J17" s="25">
        <v>0</v>
      </c>
      <c r="K17" s="25">
        <v>0</v>
      </c>
      <c r="L17" s="25">
        <v>0</v>
      </c>
      <c r="M17" s="25">
        <f>127+237+131+96+321</f>
        <v>912</v>
      </c>
      <c r="N17" s="25">
        <f>103+190+90+79+238</f>
        <v>700</v>
      </c>
      <c r="O17" s="25">
        <f>254.4+474.1+263+193+645</f>
        <v>1829.5</v>
      </c>
      <c r="P17" s="25">
        <f>207.4+380.1+179+159+479</f>
        <v>1404.5</v>
      </c>
      <c r="Q17" s="25">
        <f>69+148+73+14+199</f>
        <v>503</v>
      </c>
      <c r="R17" s="25">
        <f>48+122+48+8+131</f>
        <v>357</v>
      </c>
      <c r="S17" s="25">
        <f>1268+3014+1495+280+3990</f>
        <v>10047</v>
      </c>
      <c r="T17" s="25">
        <f>904+2504+955+160+2640</f>
        <v>7163</v>
      </c>
    </row>
    <row r="18" spans="1:20" ht="24.75" thickBot="1" x14ac:dyDescent="0.3">
      <c r="A18" s="13">
        <v>7</v>
      </c>
      <c r="B18" s="15" t="s">
        <v>28</v>
      </c>
      <c r="C18" s="24">
        <v>2</v>
      </c>
      <c r="D18" s="24"/>
      <c r="E18" s="24">
        <v>2</v>
      </c>
      <c r="F18" s="24">
        <v>2</v>
      </c>
      <c r="G18" s="24">
        <v>60</v>
      </c>
      <c r="H18" s="24">
        <v>60</v>
      </c>
      <c r="I18" s="25"/>
      <c r="J18" s="25"/>
      <c r="K18" s="25"/>
      <c r="L18" s="25"/>
      <c r="M18" s="25">
        <v>1</v>
      </c>
      <c r="N18" s="25">
        <v>1</v>
      </c>
      <c r="O18" s="25">
        <v>10</v>
      </c>
      <c r="P18" s="25">
        <v>10</v>
      </c>
      <c r="Q18" s="25">
        <v>1</v>
      </c>
      <c r="R18" s="25">
        <v>1</v>
      </c>
      <c r="S18" s="25">
        <v>50</v>
      </c>
      <c r="T18" s="25">
        <v>50</v>
      </c>
    </row>
    <row r="19" spans="1:20" ht="15.75" thickBot="1" x14ac:dyDescent="0.3">
      <c r="A19" s="13">
        <v>8</v>
      </c>
      <c r="B19" s="15" t="s">
        <v>29</v>
      </c>
      <c r="C19" s="24"/>
      <c r="D19" s="24"/>
      <c r="E19" s="24"/>
      <c r="F19" s="2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0" ht="15.75" thickBot="1" x14ac:dyDescent="0.3">
      <c r="A20" s="13">
        <v>9</v>
      </c>
      <c r="B20" s="15" t="s">
        <v>30</v>
      </c>
      <c r="C20" s="24"/>
      <c r="D20" s="24"/>
      <c r="E20" s="24"/>
      <c r="F20" s="2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24.75" thickBot="1" x14ac:dyDescent="0.3">
      <c r="A21" s="13">
        <v>10</v>
      </c>
      <c r="B21" s="14" t="s">
        <v>31</v>
      </c>
      <c r="C21" s="24">
        <f>7+30+24+5+88</f>
        <v>154</v>
      </c>
      <c r="D21" s="24">
        <f>1+0+1</f>
        <v>2</v>
      </c>
      <c r="E21" s="24">
        <f>6+30+24+4+85</f>
        <v>149</v>
      </c>
      <c r="F21" s="24">
        <f>4+30+7+4+73</f>
        <v>118</v>
      </c>
      <c r="G21" s="24">
        <f>400+2600+340+310+2211</f>
        <v>5861</v>
      </c>
      <c r="H21" s="24">
        <f>0+2000+100+750</f>
        <v>2850</v>
      </c>
      <c r="I21" s="25">
        <v>0</v>
      </c>
      <c r="J21" s="25">
        <v>0</v>
      </c>
      <c r="K21" s="25">
        <v>0</v>
      </c>
      <c r="L21" s="25">
        <v>0</v>
      </c>
      <c r="M21" s="25">
        <f>0+4+4+1+54</f>
        <v>63</v>
      </c>
      <c r="N21" s="25">
        <f>0+2+0+44</f>
        <v>46</v>
      </c>
      <c r="O21" s="25">
        <f>0+45+40+10+561</f>
        <v>656</v>
      </c>
      <c r="P21" s="25">
        <f>0+20+0+450</f>
        <v>470</v>
      </c>
      <c r="Q21" s="25">
        <f>4+26+3+3+19</f>
        <v>55</v>
      </c>
      <c r="R21" s="25">
        <f>0+20+1+4</f>
        <v>25</v>
      </c>
      <c r="S21" s="25">
        <f>400+2555+300+300+1650</f>
        <v>5205</v>
      </c>
      <c r="T21" s="25">
        <f>0+1980+100+300</f>
        <v>2380</v>
      </c>
    </row>
    <row r="22" spans="1:20" ht="15.75" thickBot="1" x14ac:dyDescent="0.3">
      <c r="A22" s="13">
        <v>11</v>
      </c>
      <c r="B22" s="14" t="s">
        <v>32</v>
      </c>
      <c r="C22" s="24">
        <f>43+5+8+5+1</f>
        <v>62</v>
      </c>
      <c r="D22" s="24">
        <v>0</v>
      </c>
      <c r="E22" s="24">
        <f>41+5+8+5</f>
        <v>59</v>
      </c>
      <c r="F22" s="24">
        <f>35+5+8+5</f>
        <v>53</v>
      </c>
      <c r="G22" s="24">
        <f>2830+465+801+380</f>
        <v>4476</v>
      </c>
      <c r="H22" s="24">
        <f>80+339+0+40</f>
        <v>459</v>
      </c>
      <c r="I22" s="25">
        <v>0</v>
      </c>
      <c r="J22" s="25">
        <v>0</v>
      </c>
      <c r="K22" s="25">
        <v>0</v>
      </c>
      <c r="L22" s="25">
        <v>0</v>
      </c>
      <c r="M22" s="25">
        <f>2+1+2</f>
        <v>5</v>
      </c>
      <c r="N22" s="25">
        <f>2+1</f>
        <v>3</v>
      </c>
      <c r="O22" s="25">
        <f>80+40+80</f>
        <v>200</v>
      </c>
      <c r="P22" s="25">
        <f>80+14+40</f>
        <v>134</v>
      </c>
      <c r="Q22" s="25">
        <f>33+4+8+3</f>
        <v>48</v>
      </c>
      <c r="R22" s="25">
        <f>5+3+0+0</f>
        <v>8</v>
      </c>
      <c r="S22" s="25">
        <f>2750+425+801+300</f>
        <v>4276</v>
      </c>
      <c r="T22" s="25">
        <f>280+325+0+0</f>
        <v>605</v>
      </c>
    </row>
    <row r="23" spans="1:20" ht="24.75" thickBot="1" x14ac:dyDescent="0.3">
      <c r="A23" s="13">
        <v>12</v>
      </c>
      <c r="B23" s="14" t="s">
        <v>33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.75" thickBot="1" x14ac:dyDescent="0.3">
      <c r="A24" s="13">
        <v>13</v>
      </c>
      <c r="B24" s="14" t="s">
        <v>34</v>
      </c>
      <c r="C24" s="24"/>
      <c r="D24" s="24"/>
      <c r="E24" s="24"/>
      <c r="F24" s="2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0" ht="15.75" thickBot="1" x14ac:dyDescent="0.3">
      <c r="A25" s="13">
        <v>14</v>
      </c>
      <c r="B25" s="14" t="s">
        <v>35</v>
      </c>
      <c r="C25" s="24"/>
      <c r="D25" s="24"/>
      <c r="E25" s="24"/>
      <c r="F25" s="2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5.75" thickBot="1" x14ac:dyDescent="0.3">
      <c r="A26" s="13">
        <v>15</v>
      </c>
      <c r="B26" s="14" t="s">
        <v>36</v>
      </c>
      <c r="C26" s="24">
        <f>4+1</f>
        <v>5</v>
      </c>
      <c r="D26" s="24">
        <f>4+1</f>
        <v>5</v>
      </c>
      <c r="E26" s="24">
        <f>3+0</f>
        <v>3</v>
      </c>
      <c r="F26" s="24">
        <v>0</v>
      </c>
      <c r="G26" s="24">
        <v>0</v>
      </c>
      <c r="H26" s="24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</row>
    <row r="27" spans="1:20" ht="15.75" thickBot="1" x14ac:dyDescent="0.3">
      <c r="A27" s="13">
        <v>16</v>
      </c>
      <c r="B27" s="14" t="s">
        <v>37</v>
      </c>
      <c r="C27" s="24">
        <f>2+33+2+18+8+29+85</f>
        <v>177</v>
      </c>
      <c r="D27" s="24">
        <f>2+33+2+18+8+29+85</f>
        <v>177</v>
      </c>
      <c r="E27" s="24">
        <f>2+27+7+8+15+61</f>
        <v>120</v>
      </c>
      <c r="F27" s="24">
        <f>2+12+7+7+15+61</f>
        <v>104</v>
      </c>
      <c r="G27" s="24">
        <f>11+9+52+43+170+389.3</f>
        <v>674.3</v>
      </c>
      <c r="H27" s="24">
        <f>11+42+43+32+75+222.3</f>
        <v>425.3</v>
      </c>
      <c r="I27" s="25">
        <v>0</v>
      </c>
      <c r="J27" s="25">
        <v>0</v>
      </c>
      <c r="K27" s="25">
        <v>0</v>
      </c>
      <c r="L27" s="25">
        <v>0</v>
      </c>
      <c r="M27" s="25">
        <f>1+3+3+2+0+26</f>
        <v>35</v>
      </c>
      <c r="N27" s="25">
        <f>1+2+3+2+0+18</f>
        <v>26</v>
      </c>
      <c r="O27" s="25">
        <f>1+3+3+2+55.3</f>
        <v>64.3</v>
      </c>
      <c r="P27" s="25">
        <f>1+2+3+2+45.3</f>
        <v>53.3</v>
      </c>
      <c r="Q27" s="25">
        <f>1+9+4+5+15+35+4</f>
        <v>73</v>
      </c>
      <c r="R27" s="25">
        <f>1+4+4+3+7+20</f>
        <v>39</v>
      </c>
      <c r="S27" s="25">
        <f>10+90+40+50+170+334</f>
        <v>694</v>
      </c>
      <c r="T27" s="25">
        <f>10+40+40+30+75+177</f>
        <v>372</v>
      </c>
    </row>
    <row r="28" spans="1:20" ht="15.75" thickBot="1" x14ac:dyDescent="0.3">
      <c r="A28" s="13">
        <v>17</v>
      </c>
      <c r="B28" s="14" t="s">
        <v>38</v>
      </c>
      <c r="C28" s="24"/>
      <c r="D28" s="24"/>
      <c r="E28" s="24"/>
      <c r="F28" s="2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0" ht="15.75" thickBot="1" x14ac:dyDescent="0.3">
      <c r="A29" s="13">
        <v>18</v>
      </c>
      <c r="B29" s="14" t="s">
        <v>39</v>
      </c>
      <c r="C29" s="24">
        <f>4+1+2+2</f>
        <v>9</v>
      </c>
      <c r="D29" s="24">
        <f>4+1+0+2</f>
        <v>7</v>
      </c>
      <c r="E29" s="24">
        <f>4+2+2</f>
        <v>8</v>
      </c>
      <c r="F29" s="24">
        <v>2</v>
      </c>
      <c r="G29" s="24">
        <v>4.5</v>
      </c>
      <c r="H29" s="24">
        <v>4.5</v>
      </c>
      <c r="I29" s="25"/>
      <c r="J29" s="25"/>
      <c r="K29" s="25"/>
      <c r="L29" s="25"/>
      <c r="M29" s="25">
        <v>1</v>
      </c>
      <c r="N29" s="25">
        <v>1</v>
      </c>
      <c r="O29" s="25">
        <v>0.5</v>
      </c>
      <c r="P29" s="25">
        <v>0.5</v>
      </c>
      <c r="Q29" s="25">
        <v>1</v>
      </c>
      <c r="R29" s="25">
        <v>1</v>
      </c>
      <c r="S29" s="25">
        <v>4</v>
      </c>
      <c r="T29" s="25">
        <v>4</v>
      </c>
    </row>
    <row r="30" spans="1:20" ht="15.75" thickBot="1" x14ac:dyDescent="0.3">
      <c r="A30" s="13">
        <v>19</v>
      </c>
      <c r="B30" s="14" t="s">
        <v>40</v>
      </c>
      <c r="C30" s="24">
        <v>1</v>
      </c>
      <c r="D30" s="24">
        <v>1</v>
      </c>
      <c r="E30" s="24">
        <v>1</v>
      </c>
      <c r="F30" s="24">
        <v>1</v>
      </c>
      <c r="G30" s="24">
        <v>40</v>
      </c>
      <c r="H30" s="24">
        <v>0</v>
      </c>
      <c r="I30" s="25"/>
      <c r="J30" s="25"/>
      <c r="K30" s="25"/>
      <c r="L30" s="25"/>
      <c r="M30" s="25"/>
      <c r="N30" s="25"/>
      <c r="O30" s="25"/>
      <c r="P30" s="25"/>
      <c r="Q30" s="25">
        <v>1</v>
      </c>
      <c r="R30" s="25">
        <v>0</v>
      </c>
      <c r="S30" s="25">
        <v>40</v>
      </c>
      <c r="T30" s="25">
        <v>0</v>
      </c>
    </row>
    <row r="31" spans="1:20" ht="24.75" thickBot="1" x14ac:dyDescent="0.3">
      <c r="A31" s="13">
        <v>20</v>
      </c>
      <c r="B31" s="14" t="s">
        <v>41</v>
      </c>
      <c r="C31" s="24">
        <f>6+10+2</f>
        <v>18</v>
      </c>
      <c r="D31" s="24">
        <f>6+10+2</f>
        <v>18</v>
      </c>
      <c r="E31" s="24">
        <f>2+7+1</f>
        <v>10</v>
      </c>
      <c r="F31" s="24">
        <f>2+7+1</f>
        <v>10</v>
      </c>
      <c r="G31" s="24">
        <f>240+304+40</f>
        <v>584</v>
      </c>
      <c r="H31" s="24">
        <f>0+140+0</f>
        <v>140</v>
      </c>
      <c r="I31" s="25">
        <v>0</v>
      </c>
      <c r="J31" s="25">
        <v>0</v>
      </c>
      <c r="K31" s="25">
        <v>0</v>
      </c>
      <c r="L31" s="25">
        <v>0</v>
      </c>
      <c r="M31" s="25">
        <v>1</v>
      </c>
      <c r="N31" s="25">
        <v>0</v>
      </c>
      <c r="O31" s="25">
        <v>4</v>
      </c>
      <c r="P31" s="25">
        <v>0</v>
      </c>
      <c r="Q31" s="25">
        <f>2+6+1</f>
        <v>9</v>
      </c>
      <c r="R31" s="25">
        <v>2</v>
      </c>
      <c r="S31" s="25">
        <f>240+300+40</f>
        <v>580</v>
      </c>
      <c r="T31" s="25">
        <v>140</v>
      </c>
    </row>
    <row r="32" spans="1:20" ht="15.75" thickBot="1" x14ac:dyDescent="0.3">
      <c r="A32" s="16"/>
      <c r="B32" s="17" t="s">
        <v>42</v>
      </c>
      <c r="C32" s="18">
        <f>SUM(C12:C31)</f>
        <v>1946</v>
      </c>
      <c r="D32" s="18">
        <f t="shared" ref="D32:T32" si="0">SUM(D12:D31)</f>
        <v>229</v>
      </c>
      <c r="E32" s="18">
        <f t="shared" si="0"/>
        <v>1812</v>
      </c>
      <c r="F32" s="18">
        <f t="shared" si="0"/>
        <v>1725</v>
      </c>
      <c r="G32" s="18">
        <f t="shared" si="0"/>
        <v>23754.799999999999</v>
      </c>
      <c r="H32" s="18">
        <f t="shared" si="0"/>
        <v>12633.8</v>
      </c>
      <c r="I32" s="18">
        <f t="shared" si="0"/>
        <v>1</v>
      </c>
      <c r="J32" s="18">
        <f t="shared" si="0"/>
        <v>1</v>
      </c>
      <c r="K32" s="18">
        <f t="shared" si="0"/>
        <v>1</v>
      </c>
      <c r="L32" s="18">
        <f t="shared" si="0"/>
        <v>1</v>
      </c>
      <c r="M32" s="18">
        <f t="shared" si="0"/>
        <v>1028</v>
      </c>
      <c r="N32" s="18">
        <f t="shared" si="0"/>
        <v>786</v>
      </c>
      <c r="O32" s="18">
        <f t="shared" si="0"/>
        <v>2777.8</v>
      </c>
      <c r="P32" s="18">
        <f t="shared" si="0"/>
        <v>2084.8000000000002</v>
      </c>
      <c r="Q32" s="18">
        <f t="shared" si="0"/>
        <v>702</v>
      </c>
      <c r="R32" s="18">
        <f t="shared" si="0"/>
        <v>441</v>
      </c>
      <c r="S32" s="18">
        <f t="shared" si="0"/>
        <v>21062</v>
      </c>
      <c r="T32" s="18">
        <f t="shared" si="0"/>
        <v>10830</v>
      </c>
    </row>
    <row r="33" spans="1:20" ht="15.75" thickBot="1" x14ac:dyDescent="0.3">
      <c r="A33" s="37" t="s">
        <v>43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</row>
    <row r="34" spans="1:20" ht="15.75" thickBot="1" x14ac:dyDescent="0.3">
      <c r="A34" s="13">
        <v>21</v>
      </c>
      <c r="B34" s="14" t="s">
        <v>44</v>
      </c>
      <c r="C34" s="24"/>
      <c r="D34" s="24"/>
      <c r="E34" s="24"/>
      <c r="F34" s="24"/>
      <c r="G34" s="24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spans="1:20" ht="15.75" thickBot="1" x14ac:dyDescent="0.3">
      <c r="A35" s="13">
        <v>22</v>
      </c>
      <c r="B35" s="14" t="s">
        <v>45</v>
      </c>
      <c r="C35" s="24"/>
      <c r="D35" s="24"/>
      <c r="E35" s="24"/>
      <c r="F35" s="2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</row>
    <row r="36" spans="1:20" ht="15.75" thickBot="1" x14ac:dyDescent="0.3">
      <c r="A36" s="13">
        <v>23</v>
      </c>
      <c r="B36" s="14" t="s">
        <v>46</v>
      </c>
      <c r="C36" s="24"/>
      <c r="D36" s="24"/>
      <c r="E36" s="24"/>
      <c r="F36" s="2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spans="1:20" ht="15.75" thickBot="1" x14ac:dyDescent="0.3">
      <c r="A37" s="13">
        <v>24</v>
      </c>
      <c r="B37" s="14" t="s">
        <v>47</v>
      </c>
      <c r="C37" s="24"/>
      <c r="D37" s="24"/>
      <c r="E37" s="24"/>
      <c r="F37" s="2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spans="1:20" ht="15.75" thickBot="1" x14ac:dyDescent="0.3">
      <c r="A38" s="13">
        <v>25</v>
      </c>
      <c r="B38" s="14" t="s">
        <v>48</v>
      </c>
      <c r="C38" s="24"/>
      <c r="D38" s="24"/>
      <c r="E38" s="24"/>
      <c r="F38" s="2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spans="1:20" ht="15.75" thickBot="1" x14ac:dyDescent="0.3">
      <c r="A39" s="13">
        <v>26</v>
      </c>
      <c r="B39" s="14" t="s">
        <v>49</v>
      </c>
      <c r="C39" s="24"/>
      <c r="D39" s="24"/>
      <c r="E39" s="24"/>
      <c r="F39" s="2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spans="1:20" ht="15.75" thickBot="1" x14ac:dyDescent="0.3">
      <c r="A40" s="13">
        <v>27</v>
      </c>
      <c r="B40" s="14" t="s">
        <v>50</v>
      </c>
      <c r="C40" s="24"/>
      <c r="D40" s="24"/>
      <c r="E40" s="24"/>
      <c r="F40" s="2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ht="15.75" thickBot="1" x14ac:dyDescent="0.3">
      <c r="A41" s="19">
        <v>28</v>
      </c>
      <c r="B41" s="14" t="s">
        <v>51</v>
      </c>
      <c r="C41" s="24"/>
      <c r="D41" s="24"/>
      <c r="E41" s="24"/>
      <c r="F41" s="24"/>
      <c r="G41" s="24"/>
      <c r="H41" s="2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pans="1:20" ht="24.75" thickBot="1" x14ac:dyDescent="0.3">
      <c r="A42" s="13">
        <v>29</v>
      </c>
      <c r="B42" s="14" t="s">
        <v>52</v>
      </c>
      <c r="C42" s="24"/>
      <c r="D42" s="24"/>
      <c r="E42" s="24"/>
      <c r="F42" s="24"/>
      <c r="G42" s="24"/>
      <c r="H42" s="2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</row>
    <row r="43" spans="1:20" ht="15.75" thickBot="1" x14ac:dyDescent="0.3">
      <c r="A43" s="13">
        <v>30</v>
      </c>
      <c r="B43" s="14" t="s">
        <v>53</v>
      </c>
      <c r="C43" s="24"/>
      <c r="D43" s="24"/>
      <c r="E43" s="24"/>
      <c r="F43" s="24"/>
      <c r="G43" s="24"/>
      <c r="H43" s="2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spans="1:20" ht="15.75" thickBot="1" x14ac:dyDescent="0.3">
      <c r="A44" s="13">
        <v>31</v>
      </c>
      <c r="B44" s="14" t="s">
        <v>54</v>
      </c>
      <c r="C44" s="31"/>
      <c r="D44" s="31"/>
      <c r="E44" s="31"/>
      <c r="F44" s="31"/>
      <c r="G44" s="31"/>
      <c r="H44" s="3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15.75" thickBot="1" x14ac:dyDescent="0.3">
      <c r="A45" s="19">
        <v>32</v>
      </c>
      <c r="B45" s="14" t="s">
        <v>55</v>
      </c>
      <c r="C45" s="24">
        <f>24+16+34+219+129+166+52+157+564</f>
        <v>1361</v>
      </c>
      <c r="D45" s="24">
        <f>9+0+4+28+17+62+12+22+7</f>
        <v>161</v>
      </c>
      <c r="E45" s="24">
        <f>24+16+31+82+127+149+40+154+402</f>
        <v>1025</v>
      </c>
      <c r="F45" s="24">
        <f>15+16+27+158+16+87+46+108+132</f>
        <v>605</v>
      </c>
      <c r="G45" s="24">
        <f>465+1150+1500+8248+3512+5545+3755+7300+34893</f>
        <v>66368</v>
      </c>
      <c r="H45" s="24">
        <f>445+910+1020+5146+1740+3015+1415+3810+12695</f>
        <v>30196</v>
      </c>
      <c r="I45" s="25">
        <f>0+1+1</f>
        <v>2</v>
      </c>
      <c r="J45" s="25">
        <v>1</v>
      </c>
      <c r="K45" s="25">
        <f>0+2+2</f>
        <v>4</v>
      </c>
      <c r="L45" s="25">
        <v>2</v>
      </c>
      <c r="M45" s="25">
        <f>13+11+20+124+15+65+30+64+182</f>
        <v>524</v>
      </c>
      <c r="N45" s="25">
        <f>12+9+16+100+7+53+17+54+96</f>
        <v>364</v>
      </c>
      <c r="O45" s="25">
        <f>265+220+400+2588+2660+1305+605+1300+4351</f>
        <v>13694</v>
      </c>
      <c r="P45" s="25">
        <f>245+180+320+2086+1160+1075+365+1110+2938</f>
        <v>9479</v>
      </c>
      <c r="Q45" s="25">
        <f>2+5+7+33+42+22+16+44+192</f>
        <v>363</v>
      </c>
      <c r="R45" s="25">
        <f>2+4+5+21+29+10+5+23+65</f>
        <v>164</v>
      </c>
      <c r="S45" s="25">
        <f>200+930+1100+5660+850+4240+3150+6000+30540</f>
        <v>52670</v>
      </c>
      <c r="T45" s="25">
        <f>200+730+700+3060+580+1940+1050+2700+9755</f>
        <v>20715</v>
      </c>
    </row>
    <row r="46" spans="1:20" ht="15.75" thickBot="1" x14ac:dyDescent="0.3">
      <c r="A46" s="13">
        <v>33</v>
      </c>
      <c r="B46" s="14" t="s">
        <v>56</v>
      </c>
      <c r="C46" s="24">
        <f>46+61+1+18+47</f>
        <v>173</v>
      </c>
      <c r="D46" s="24">
        <v>0</v>
      </c>
      <c r="E46" s="24">
        <f>46+61+1+21+47</f>
        <v>176</v>
      </c>
      <c r="F46" s="24">
        <f>46+61+1+21+47</f>
        <v>176</v>
      </c>
      <c r="G46" s="24">
        <f>436+1176.5+20+114.2+256</f>
        <v>2002.7</v>
      </c>
      <c r="H46" s="24">
        <f>369+145.5+0+110.2+248</f>
        <v>872.7</v>
      </c>
      <c r="I46" s="25">
        <v>0</v>
      </c>
      <c r="J46" s="25">
        <v>0</v>
      </c>
      <c r="K46" s="25">
        <v>0</v>
      </c>
      <c r="L46" s="25">
        <v>0</v>
      </c>
      <c r="M46" s="25">
        <f>27+15+1+17+38</f>
        <v>98</v>
      </c>
      <c r="N46" s="25">
        <f>24+12+0+15+34</f>
        <v>85</v>
      </c>
      <c r="O46" s="25">
        <f>55+30.5+20+34.2+76</f>
        <v>215.7</v>
      </c>
      <c r="P46" s="25">
        <f>49+24.5+0+30.2+68</f>
        <v>171.7</v>
      </c>
      <c r="Q46" s="25">
        <f>19+46+0+4+9</f>
        <v>78</v>
      </c>
      <c r="R46" s="25">
        <f>17+5+0+4+9</f>
        <v>35</v>
      </c>
      <c r="S46" s="25">
        <f>381+1146+0+80+180</f>
        <v>1787</v>
      </c>
      <c r="T46" s="25">
        <f>320+121+0+80+180</f>
        <v>701</v>
      </c>
    </row>
    <row r="47" spans="1:20" ht="15.75" thickBot="1" x14ac:dyDescent="0.3">
      <c r="A47" s="13">
        <v>34</v>
      </c>
      <c r="B47" s="14" t="s">
        <v>57</v>
      </c>
      <c r="C47" s="24"/>
      <c r="D47" s="24"/>
      <c r="E47" s="24"/>
      <c r="F47" s="24"/>
      <c r="G47" s="24"/>
      <c r="H47" s="2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</row>
    <row r="48" spans="1:20" ht="15.75" thickBot="1" x14ac:dyDescent="0.3">
      <c r="A48" s="13">
        <v>35</v>
      </c>
      <c r="B48" s="14" t="s">
        <v>58</v>
      </c>
      <c r="C48" s="24"/>
      <c r="D48" s="24"/>
      <c r="E48" s="24"/>
      <c r="F48" s="24"/>
      <c r="G48" s="24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</row>
    <row r="49" spans="1:20" ht="15.75" thickBot="1" x14ac:dyDescent="0.3">
      <c r="A49" s="13">
        <v>36</v>
      </c>
      <c r="B49" s="14" t="s">
        <v>59</v>
      </c>
      <c r="C49" s="24"/>
      <c r="D49" s="24"/>
      <c r="E49" s="24"/>
      <c r="F49" s="24"/>
      <c r="G49" s="24"/>
      <c r="H49" s="2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spans="1:20" ht="15.75" thickBot="1" x14ac:dyDescent="0.3">
      <c r="A50" s="13">
        <v>37</v>
      </c>
      <c r="B50" s="14" t="s">
        <v>26</v>
      </c>
      <c r="C50" s="24">
        <f>2+1+1</f>
        <v>4</v>
      </c>
      <c r="D50" s="24"/>
      <c r="E50" s="24">
        <f>2+1+1</f>
        <v>4</v>
      </c>
      <c r="F50" s="24">
        <f>1+1</f>
        <v>2</v>
      </c>
      <c r="G50" s="24">
        <f>1+1</f>
        <v>2</v>
      </c>
      <c r="H50" s="24">
        <f>1+1</f>
        <v>2</v>
      </c>
      <c r="I50" s="25"/>
      <c r="J50" s="25">
        <v>1</v>
      </c>
      <c r="K50" s="25"/>
      <c r="L50" s="25"/>
      <c r="M50" s="25">
        <v>1</v>
      </c>
      <c r="N50" s="25">
        <v>1</v>
      </c>
      <c r="O50" s="25">
        <v>1</v>
      </c>
      <c r="P50" s="25">
        <v>1</v>
      </c>
      <c r="Q50" s="25"/>
      <c r="R50" s="25"/>
      <c r="S50" s="25"/>
      <c r="T50" s="25"/>
    </row>
    <row r="51" spans="1:20" ht="15.75" thickBot="1" x14ac:dyDescent="0.3">
      <c r="A51" s="13">
        <v>38</v>
      </c>
      <c r="B51" s="14" t="s">
        <v>60</v>
      </c>
      <c r="C51" s="31">
        <f>30+33+2</f>
        <v>65</v>
      </c>
      <c r="D51" s="31">
        <f>30+0+2</f>
        <v>32</v>
      </c>
      <c r="E51" s="31">
        <f>18+33+0</f>
        <v>51</v>
      </c>
      <c r="F51" s="31">
        <f>10+14+0</f>
        <v>24</v>
      </c>
      <c r="G51" s="31">
        <f>127+236+0</f>
        <v>363</v>
      </c>
      <c r="H51" s="31">
        <f>107+135+0</f>
        <v>242</v>
      </c>
      <c r="I51" s="32">
        <v>0</v>
      </c>
      <c r="J51" s="32">
        <v>0</v>
      </c>
      <c r="K51" s="32">
        <v>0</v>
      </c>
      <c r="L51" s="32">
        <v>0</v>
      </c>
      <c r="M51" s="32">
        <f>4+10+0</f>
        <v>14</v>
      </c>
      <c r="N51" s="32">
        <f>4+10+0</f>
        <v>14</v>
      </c>
      <c r="O51" s="32">
        <v>7</v>
      </c>
      <c r="P51" s="32">
        <f>7+25+0</f>
        <v>32</v>
      </c>
      <c r="Q51" s="32">
        <f>6+4+2</f>
        <v>12</v>
      </c>
      <c r="R51" s="32">
        <f>5+1</f>
        <v>6</v>
      </c>
      <c r="S51" s="32">
        <f>120+210</f>
        <v>330</v>
      </c>
      <c r="T51" s="32">
        <f>100+110</f>
        <v>210</v>
      </c>
    </row>
    <row r="52" spans="1:20" ht="15.75" thickBot="1" x14ac:dyDescent="0.3">
      <c r="A52" s="13">
        <v>39</v>
      </c>
      <c r="B52" s="15" t="s">
        <v>61</v>
      </c>
      <c r="C52" s="24">
        <f>9+8+3+3</f>
        <v>23</v>
      </c>
      <c r="D52" s="24">
        <f>0+0</f>
        <v>0</v>
      </c>
      <c r="E52" s="24">
        <f>9+8+3+3</f>
        <v>23</v>
      </c>
      <c r="F52" s="24">
        <f>9+1+3+2</f>
        <v>15</v>
      </c>
      <c r="G52" s="24">
        <f>555+300+45+315</f>
        <v>1215</v>
      </c>
      <c r="H52" s="24">
        <f>75+0+45+0</f>
        <v>120</v>
      </c>
      <c r="I52" s="25">
        <v>0</v>
      </c>
      <c r="J52" s="25">
        <v>0</v>
      </c>
      <c r="K52" s="25">
        <v>0</v>
      </c>
      <c r="L52" s="25">
        <v>0</v>
      </c>
      <c r="M52" s="25">
        <f>7+1+3+1</f>
        <v>12</v>
      </c>
      <c r="N52" s="25">
        <f>5+0+3+0</f>
        <v>8</v>
      </c>
      <c r="O52" s="25">
        <f>105+300+45+15</f>
        <v>465</v>
      </c>
      <c r="P52" s="25">
        <f>75+0+45+0</f>
        <v>120</v>
      </c>
      <c r="Q52" s="25">
        <f>2+0+0+2</f>
        <v>4</v>
      </c>
      <c r="R52" s="25">
        <v>0</v>
      </c>
      <c r="S52" s="25">
        <f>450+0+0+300</f>
        <v>750</v>
      </c>
      <c r="T52" s="25">
        <v>0</v>
      </c>
    </row>
    <row r="53" spans="1:20" ht="15.75" thickBot="1" x14ac:dyDescent="0.3">
      <c r="A53" s="13">
        <v>40</v>
      </c>
      <c r="B53" s="15" t="s">
        <v>62</v>
      </c>
      <c r="C53" s="24">
        <v>1</v>
      </c>
      <c r="D53" s="24">
        <v>1</v>
      </c>
      <c r="E53" s="24"/>
      <c r="F53" s="24"/>
      <c r="G53" s="24"/>
      <c r="H53" s="24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1:20" ht="15.75" thickBot="1" x14ac:dyDescent="0.3">
      <c r="A54" s="13">
        <v>41</v>
      </c>
      <c r="B54" s="14" t="s">
        <v>63</v>
      </c>
      <c r="C54" s="24"/>
      <c r="D54" s="24"/>
      <c r="E54" s="24"/>
      <c r="F54" s="24"/>
      <c r="G54" s="24"/>
      <c r="H54" s="24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</row>
    <row r="55" spans="1:20" ht="15.75" thickBot="1" x14ac:dyDescent="0.3">
      <c r="A55" s="13">
        <v>42</v>
      </c>
      <c r="B55" s="14" t="s">
        <v>64</v>
      </c>
      <c r="C55" s="24"/>
      <c r="D55" s="24"/>
      <c r="E55" s="24"/>
      <c r="F55" s="24"/>
      <c r="G55" s="24"/>
      <c r="H55" s="2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</row>
    <row r="56" spans="1:20" ht="24.75" thickBot="1" x14ac:dyDescent="0.3">
      <c r="A56" s="13">
        <v>43</v>
      </c>
      <c r="B56" s="15" t="s">
        <v>65</v>
      </c>
      <c r="C56" s="24">
        <v>6</v>
      </c>
      <c r="D56" s="24"/>
      <c r="E56" s="24"/>
      <c r="F56" s="24">
        <v>6</v>
      </c>
      <c r="G56" s="24">
        <v>4.5</v>
      </c>
      <c r="H56" s="24">
        <v>3.6</v>
      </c>
      <c r="I56" s="25"/>
      <c r="J56" s="25"/>
      <c r="K56" s="25"/>
      <c r="L56" s="25"/>
      <c r="M56" s="25">
        <v>5</v>
      </c>
      <c r="N56" s="25">
        <v>2</v>
      </c>
      <c r="O56" s="25">
        <v>1.5</v>
      </c>
      <c r="P56" s="25">
        <v>0.6</v>
      </c>
      <c r="Q56" s="25">
        <v>1</v>
      </c>
      <c r="R56" s="25">
        <v>1</v>
      </c>
      <c r="S56" s="25">
        <v>3</v>
      </c>
      <c r="T56" s="25">
        <v>3</v>
      </c>
    </row>
    <row r="57" spans="1:20" ht="15.75" thickBot="1" x14ac:dyDescent="0.3">
      <c r="A57" s="13">
        <v>44</v>
      </c>
      <c r="B57" s="14" t="s">
        <v>66</v>
      </c>
      <c r="C57" s="24">
        <f>5+6</f>
        <v>11</v>
      </c>
      <c r="D57" s="24"/>
      <c r="E57" s="24">
        <v>6</v>
      </c>
      <c r="F57" s="24">
        <v>5</v>
      </c>
      <c r="G57" s="24">
        <f>11.5+3</f>
        <v>14.5</v>
      </c>
      <c r="H57" s="24">
        <v>11.5</v>
      </c>
      <c r="I57" s="25"/>
      <c r="J57" s="25"/>
      <c r="K57" s="25"/>
      <c r="L57" s="25"/>
      <c r="M57" s="25">
        <f>3+6</f>
        <v>9</v>
      </c>
      <c r="N57" s="25">
        <v>3</v>
      </c>
      <c r="O57" s="25">
        <f>1.5+3</f>
        <v>4.5</v>
      </c>
      <c r="P57" s="25">
        <v>1.5</v>
      </c>
      <c r="Q57" s="25">
        <v>2</v>
      </c>
      <c r="R57" s="25">
        <v>2</v>
      </c>
      <c r="S57" s="25">
        <v>10</v>
      </c>
      <c r="T57" s="25">
        <v>10</v>
      </c>
    </row>
    <row r="58" spans="1:20" ht="15.75" thickBot="1" x14ac:dyDescent="0.3">
      <c r="A58" s="13">
        <v>45</v>
      </c>
      <c r="B58" s="14" t="s">
        <v>67</v>
      </c>
      <c r="C58" s="24"/>
      <c r="D58" s="24"/>
      <c r="E58" s="24"/>
      <c r="F58" s="24"/>
      <c r="G58" s="24"/>
      <c r="H58" s="2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spans="1:20" ht="24.75" thickBot="1" x14ac:dyDescent="0.3">
      <c r="A59" s="13">
        <v>46</v>
      </c>
      <c r="B59" s="14" t="s">
        <v>68</v>
      </c>
      <c r="C59" s="24">
        <v>1</v>
      </c>
      <c r="D59" s="24">
        <v>1</v>
      </c>
      <c r="E59" s="24">
        <v>1</v>
      </c>
      <c r="F59" s="24">
        <v>1</v>
      </c>
      <c r="G59" s="24">
        <v>4</v>
      </c>
      <c r="H59" s="24">
        <v>4</v>
      </c>
      <c r="I59" s="25"/>
      <c r="J59" s="25"/>
      <c r="K59" s="25"/>
      <c r="L59" s="25"/>
      <c r="M59" s="25">
        <v>1</v>
      </c>
      <c r="N59" s="25">
        <v>1</v>
      </c>
      <c r="O59" s="25">
        <v>4</v>
      </c>
      <c r="P59" s="25">
        <v>4</v>
      </c>
      <c r="Q59" s="25"/>
      <c r="R59" s="25"/>
      <c r="S59" s="25"/>
      <c r="T59" s="25"/>
    </row>
    <row r="60" spans="1:20" ht="15.75" thickBot="1" x14ac:dyDescent="0.3">
      <c r="A60" s="13">
        <v>47</v>
      </c>
      <c r="B60" s="14" t="s">
        <v>69</v>
      </c>
      <c r="C60" s="24"/>
      <c r="D60" s="24"/>
      <c r="E60" s="24"/>
      <c r="F60" s="24"/>
      <c r="G60" s="24"/>
      <c r="H60" s="2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</row>
    <row r="61" spans="1:20" ht="24.75" thickBot="1" x14ac:dyDescent="0.3">
      <c r="A61" s="13">
        <v>48</v>
      </c>
      <c r="B61" s="14" t="s">
        <v>70</v>
      </c>
      <c r="C61" s="24">
        <f>33+1+20</f>
        <v>54</v>
      </c>
      <c r="D61" s="24">
        <v>0</v>
      </c>
      <c r="E61" s="24">
        <f>33+1+20</f>
        <v>54</v>
      </c>
      <c r="F61" s="24">
        <f>14+1+19</f>
        <v>34</v>
      </c>
      <c r="G61" s="24">
        <f>320+50+285</f>
        <v>655</v>
      </c>
      <c r="H61" s="24">
        <f>100+50+232</f>
        <v>382</v>
      </c>
      <c r="I61" s="25">
        <v>0</v>
      </c>
      <c r="J61" s="25">
        <v>0</v>
      </c>
      <c r="K61" s="25">
        <v>0</v>
      </c>
      <c r="L61" s="25">
        <v>0</v>
      </c>
      <c r="M61" s="25">
        <f>12+18</f>
        <v>30</v>
      </c>
      <c r="N61" s="25">
        <f>10+12</f>
        <v>22</v>
      </c>
      <c r="O61" s="25">
        <f>120+185</f>
        <v>305</v>
      </c>
      <c r="P61" s="25">
        <f>100+132</f>
        <v>232</v>
      </c>
      <c r="Q61" s="25">
        <f>2+1+1</f>
        <v>4</v>
      </c>
      <c r="R61" s="25">
        <f>0+1+1</f>
        <v>2</v>
      </c>
      <c r="S61" s="25">
        <f>200+50+100</f>
        <v>350</v>
      </c>
      <c r="T61" s="25">
        <f>0+50+100</f>
        <v>150</v>
      </c>
    </row>
    <row r="62" spans="1:20" ht="15.75" thickBot="1" x14ac:dyDescent="0.3">
      <c r="A62" s="13">
        <v>49</v>
      </c>
      <c r="B62" s="14" t="s">
        <v>71</v>
      </c>
      <c r="C62" s="31"/>
      <c r="D62" s="31"/>
      <c r="E62" s="31"/>
      <c r="F62" s="31"/>
      <c r="G62" s="31"/>
      <c r="H62" s="31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15.75" thickBot="1" x14ac:dyDescent="0.3">
      <c r="A63" s="13">
        <v>50</v>
      </c>
      <c r="B63" s="14" t="s">
        <v>72</v>
      </c>
      <c r="C63" s="24">
        <f>5+16</f>
        <v>21</v>
      </c>
      <c r="D63" s="24">
        <v>1</v>
      </c>
      <c r="E63" s="24">
        <f>4+16</f>
        <v>20</v>
      </c>
      <c r="F63" s="24">
        <f>1+13</f>
        <v>14</v>
      </c>
      <c r="G63" s="24">
        <f>100+521</f>
        <v>621</v>
      </c>
      <c r="H63" s="24">
        <v>240</v>
      </c>
      <c r="I63" s="25"/>
      <c r="J63" s="25"/>
      <c r="K63" s="25"/>
      <c r="L63" s="25"/>
      <c r="M63" s="25">
        <v>13</v>
      </c>
      <c r="N63" s="25">
        <v>6</v>
      </c>
      <c r="O63" s="25">
        <v>521</v>
      </c>
      <c r="P63" s="25">
        <v>240</v>
      </c>
      <c r="Q63" s="25">
        <v>1</v>
      </c>
      <c r="R63" s="25"/>
      <c r="S63" s="25">
        <v>100</v>
      </c>
      <c r="T63" s="25"/>
    </row>
    <row r="64" spans="1:20" ht="15.75" thickBot="1" x14ac:dyDescent="0.3">
      <c r="A64" s="13">
        <v>51</v>
      </c>
      <c r="B64" s="14" t="s">
        <v>73</v>
      </c>
      <c r="C64" s="24"/>
      <c r="D64" s="24"/>
      <c r="E64" s="24"/>
      <c r="F64" s="24"/>
      <c r="G64" s="24"/>
      <c r="H64" s="2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spans="1:20" ht="15.75" thickBot="1" x14ac:dyDescent="0.3">
      <c r="A65" s="13">
        <v>52</v>
      </c>
      <c r="B65" s="14" t="s">
        <v>74</v>
      </c>
      <c r="C65" s="24"/>
      <c r="D65" s="24"/>
      <c r="E65" s="24"/>
      <c r="F65" s="24"/>
      <c r="G65" s="24"/>
      <c r="H65" s="2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</row>
    <row r="66" spans="1:20" ht="15.75" thickBot="1" x14ac:dyDescent="0.3">
      <c r="A66" s="13">
        <v>53</v>
      </c>
      <c r="B66" s="14" t="s">
        <v>75</v>
      </c>
      <c r="C66" s="24"/>
      <c r="D66" s="24"/>
      <c r="E66" s="24"/>
      <c r="F66" s="24"/>
      <c r="G66" s="24"/>
      <c r="H66" s="2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</row>
    <row r="67" spans="1:20" ht="15.75" thickBot="1" x14ac:dyDescent="0.3">
      <c r="A67" s="13">
        <v>54</v>
      </c>
      <c r="B67" s="14" t="s">
        <v>76</v>
      </c>
      <c r="C67" s="31"/>
      <c r="D67" s="31"/>
      <c r="E67" s="31"/>
      <c r="F67" s="31"/>
      <c r="G67" s="31"/>
      <c r="H67" s="31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5.75" thickBot="1" x14ac:dyDescent="0.3">
      <c r="A68" s="13">
        <v>55</v>
      </c>
      <c r="B68" s="14" t="s">
        <v>77</v>
      </c>
      <c r="C68" s="24">
        <f>2+6+9+3+1</f>
        <v>21</v>
      </c>
      <c r="D68" s="24">
        <f>2+6+9+3+1</f>
        <v>21</v>
      </c>
      <c r="E68" s="24">
        <f>2+3+4+2+0</f>
        <v>11</v>
      </c>
      <c r="F68" s="24">
        <f>0+3+4+2</f>
        <v>9</v>
      </c>
      <c r="G68" s="24">
        <f>0+60+39+25</f>
        <v>124</v>
      </c>
      <c r="H68" s="24">
        <v>5</v>
      </c>
      <c r="I68" s="25"/>
      <c r="J68" s="25"/>
      <c r="K68" s="25"/>
      <c r="L68" s="25"/>
      <c r="M68" s="25">
        <v>2</v>
      </c>
      <c r="N68" s="25">
        <v>1</v>
      </c>
      <c r="O68" s="25">
        <v>7</v>
      </c>
      <c r="P68" s="25">
        <v>5</v>
      </c>
      <c r="Q68" s="25">
        <f>2+2+3</f>
        <v>7</v>
      </c>
      <c r="R68" s="25"/>
      <c r="S68" s="25">
        <f>60+32+25</f>
        <v>117</v>
      </c>
      <c r="T68" s="25"/>
    </row>
    <row r="69" spans="1:20" ht="24.75" thickBot="1" x14ac:dyDescent="0.3">
      <c r="A69" s="13">
        <v>56</v>
      </c>
      <c r="B69" s="15" t="s">
        <v>78</v>
      </c>
      <c r="C69" s="24">
        <f>20+7+22+10+48+3+6+142</f>
        <v>258</v>
      </c>
      <c r="D69" s="24">
        <f>20+0+0+0+5+1+7</f>
        <v>33</v>
      </c>
      <c r="E69" s="24">
        <f>20+7+14+10+48+3+5+115</f>
        <v>222</v>
      </c>
      <c r="F69" s="24">
        <f>14+7+21+10+48+3+4+43</f>
        <v>150</v>
      </c>
      <c r="G69" s="24">
        <f>350+1340+4310+6700+6683+465+1205+23898</f>
        <v>44951</v>
      </c>
      <c r="H69" s="24">
        <f>110+640+2530+1400+3629+35+653.863+6139</f>
        <v>15136.862999999999</v>
      </c>
      <c r="I69" s="25">
        <v>0</v>
      </c>
      <c r="J69" s="25">
        <v>0</v>
      </c>
      <c r="K69" s="25">
        <v>0</v>
      </c>
      <c r="L69" s="25">
        <v>0</v>
      </c>
      <c r="M69" s="25">
        <f>3+11+0+31+2+58</f>
        <v>105</v>
      </c>
      <c r="N69" s="25">
        <f>3+9+0+23+1+42</f>
        <v>78</v>
      </c>
      <c r="O69" s="25">
        <f>90+340+0+868+65+1370</f>
        <v>2733</v>
      </c>
      <c r="P69" s="25">
        <f>90+310+0+634+35+700</f>
        <v>1769</v>
      </c>
      <c r="Q69" s="25">
        <f>14+4+10+10+17+1+4+66</f>
        <v>126</v>
      </c>
      <c r="R69" s="25">
        <f>11+2+8+2+9+1+19</f>
        <v>52</v>
      </c>
      <c r="S69" s="25">
        <f>350+1250+3970+6700+5815+400+1205+18450</f>
        <v>38140</v>
      </c>
      <c r="T69" s="25">
        <f>110+550+2220+1400+2995+653.863+5406</f>
        <v>13334.863000000001</v>
      </c>
    </row>
    <row r="70" spans="1:20" ht="15.75" thickBot="1" x14ac:dyDescent="0.3">
      <c r="A70" s="13">
        <v>57</v>
      </c>
      <c r="B70" s="15" t="s">
        <v>38</v>
      </c>
      <c r="C70" s="24"/>
      <c r="D70" s="24"/>
      <c r="E70" s="24"/>
      <c r="F70" s="24"/>
      <c r="G70" s="24"/>
      <c r="H70" s="2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</row>
    <row r="71" spans="1:20" ht="15.75" thickBot="1" x14ac:dyDescent="0.3">
      <c r="A71" s="13">
        <v>58</v>
      </c>
      <c r="B71" s="15" t="s">
        <v>39</v>
      </c>
      <c r="C71" s="24">
        <f>15+5+3+11+34+13+50+1+11</f>
        <v>143</v>
      </c>
      <c r="D71" s="24">
        <f>15+5+3+11+34+13+50+1+11</f>
        <v>143</v>
      </c>
      <c r="E71" s="24">
        <f>15+5+3+3+34+11+28+1+9</f>
        <v>109</v>
      </c>
      <c r="F71" s="24">
        <f>0+0+1+1+7+23+3</f>
        <v>35</v>
      </c>
      <c r="G71" s="24">
        <f>0+0+3+3+15.6+44.7+6.3</f>
        <v>72.600000000000009</v>
      </c>
      <c r="H71" s="24">
        <f>0+12+35.7+6.3</f>
        <v>54</v>
      </c>
      <c r="I71" s="25">
        <v>0</v>
      </c>
      <c r="J71" s="25">
        <v>0</v>
      </c>
      <c r="K71" s="25">
        <v>0</v>
      </c>
      <c r="L71" s="25">
        <v>0</v>
      </c>
      <c r="M71" s="25">
        <f>0+3+9+1</f>
        <v>13</v>
      </c>
      <c r="N71" s="25">
        <f>0+1+9+1</f>
        <v>11</v>
      </c>
      <c r="O71" s="25">
        <f>0+0.6+2.7+0.3</f>
        <v>3.6</v>
      </c>
      <c r="P71" s="25">
        <f>0+2.7+0.3</f>
        <v>3</v>
      </c>
      <c r="Q71" s="25">
        <f>1+1+5+14+2</f>
        <v>23</v>
      </c>
      <c r="R71" s="25">
        <f>0+4+11+2</f>
        <v>17</v>
      </c>
      <c r="S71" s="25">
        <f>0+0+3+3+15+42+6</f>
        <v>69</v>
      </c>
      <c r="T71" s="25">
        <f>0+12+33+6</f>
        <v>51</v>
      </c>
    </row>
    <row r="72" spans="1:20" ht="24.75" thickBot="1" x14ac:dyDescent="0.3">
      <c r="A72" s="19">
        <v>59</v>
      </c>
      <c r="B72" s="14" t="s">
        <v>79</v>
      </c>
      <c r="C72" s="24"/>
      <c r="D72" s="24"/>
      <c r="E72" s="24"/>
      <c r="F72" s="24"/>
      <c r="G72" s="24"/>
      <c r="H72" s="2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  <row r="73" spans="1:20" ht="15.75" thickBot="1" x14ac:dyDescent="0.3">
      <c r="A73" s="13">
        <v>60</v>
      </c>
      <c r="B73" s="15" t="s">
        <v>80</v>
      </c>
      <c r="C73" s="24">
        <v>1</v>
      </c>
      <c r="D73" s="24">
        <v>1</v>
      </c>
      <c r="E73" s="24"/>
      <c r="F73" s="24"/>
      <c r="G73" s="24"/>
      <c r="H73" s="24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</row>
    <row r="74" spans="1:20" ht="15.75" thickBot="1" x14ac:dyDescent="0.3">
      <c r="A74" s="13">
        <v>61</v>
      </c>
      <c r="B74" s="15" t="s">
        <v>81</v>
      </c>
      <c r="C74" s="24">
        <v>1</v>
      </c>
      <c r="D74" s="24">
        <v>1</v>
      </c>
      <c r="E74" s="24"/>
      <c r="F74" s="24"/>
      <c r="G74" s="24"/>
      <c r="H74" s="2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1:20" ht="24.75" thickBot="1" x14ac:dyDescent="0.3">
      <c r="A75" s="13">
        <v>62</v>
      </c>
      <c r="B75" s="15" t="s">
        <v>82</v>
      </c>
      <c r="C75" s="24"/>
      <c r="D75" s="24"/>
      <c r="E75" s="24"/>
      <c r="F75" s="24"/>
      <c r="G75" s="24"/>
      <c r="H75" s="2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</row>
    <row r="76" spans="1:20" ht="15.75" thickBot="1" x14ac:dyDescent="0.3">
      <c r="A76" s="13">
        <v>63</v>
      </c>
      <c r="B76" s="15" t="s">
        <v>83</v>
      </c>
      <c r="C76" s="24"/>
      <c r="D76" s="24"/>
      <c r="E76" s="24"/>
      <c r="F76" s="24"/>
      <c r="G76" s="24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1:20" ht="24.75" thickBot="1" x14ac:dyDescent="0.3">
      <c r="A77" s="13">
        <v>64</v>
      </c>
      <c r="B77" s="14" t="s">
        <v>84</v>
      </c>
      <c r="C77" s="24"/>
      <c r="D77" s="24"/>
      <c r="E77" s="24"/>
      <c r="F77" s="24"/>
      <c r="G77" s="24"/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spans="1:20" ht="24.75" thickBot="1" x14ac:dyDescent="0.3">
      <c r="A78" s="13">
        <v>65</v>
      </c>
      <c r="B78" s="15" t="s">
        <v>85</v>
      </c>
      <c r="C78" s="24">
        <f>4+6+8+13+2+1+7</f>
        <v>41</v>
      </c>
      <c r="D78" s="24">
        <f>4+6+8+13+1+1+7</f>
        <v>40</v>
      </c>
      <c r="E78" s="24">
        <f>2+6+3+5+2+1+3</f>
        <v>22</v>
      </c>
      <c r="F78" s="24">
        <f>1+2+3+5+2+1+2</f>
        <v>16</v>
      </c>
      <c r="G78" s="24">
        <f>400+1500+2000+848+600+400+800</f>
        <v>6548</v>
      </c>
      <c r="H78" s="24">
        <f>0+1000+4</f>
        <v>1004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f>1+2+3+3+2+1+2</f>
        <v>14</v>
      </c>
      <c r="R78" s="25">
        <f>0+1</f>
        <v>1</v>
      </c>
      <c r="S78" s="25">
        <f>400+1500+2000+840+600+400+800</f>
        <v>6540</v>
      </c>
      <c r="T78" s="25">
        <f>0+1000</f>
        <v>1000</v>
      </c>
    </row>
    <row r="79" spans="1:20" ht="15.75" thickBot="1" x14ac:dyDescent="0.3">
      <c r="A79" s="20"/>
      <c r="B79" s="21" t="s">
        <v>86</v>
      </c>
      <c r="C79" s="18">
        <f>SUM(C34:C78)</f>
        <v>2185</v>
      </c>
      <c r="D79" s="18">
        <f t="shared" ref="D79:T79" si="1">SUM(D34:D78)</f>
        <v>435</v>
      </c>
      <c r="E79" s="18">
        <f t="shared" si="1"/>
        <v>1724</v>
      </c>
      <c r="F79" s="18">
        <f t="shared" si="1"/>
        <v>1092</v>
      </c>
      <c r="G79" s="18">
        <f t="shared" si="1"/>
        <v>122945.3</v>
      </c>
      <c r="H79" s="18">
        <f t="shared" si="1"/>
        <v>48273.663</v>
      </c>
      <c r="I79" s="18">
        <f t="shared" si="1"/>
        <v>2</v>
      </c>
      <c r="J79" s="18">
        <f t="shared" si="1"/>
        <v>2</v>
      </c>
      <c r="K79" s="18">
        <f t="shared" si="1"/>
        <v>4</v>
      </c>
      <c r="L79" s="18">
        <f t="shared" si="1"/>
        <v>2</v>
      </c>
      <c r="M79" s="18">
        <f t="shared" si="1"/>
        <v>827</v>
      </c>
      <c r="N79" s="18">
        <f t="shared" si="1"/>
        <v>596</v>
      </c>
      <c r="O79" s="18">
        <f t="shared" si="1"/>
        <v>17962.3</v>
      </c>
      <c r="P79" s="18">
        <f t="shared" si="1"/>
        <v>12058.800000000001</v>
      </c>
      <c r="Q79" s="18">
        <f t="shared" si="1"/>
        <v>635</v>
      </c>
      <c r="R79" s="18">
        <f t="shared" si="1"/>
        <v>280</v>
      </c>
      <c r="S79" s="18">
        <f t="shared" si="1"/>
        <v>100866</v>
      </c>
      <c r="T79" s="18">
        <f t="shared" si="1"/>
        <v>36174.862999999998</v>
      </c>
    </row>
    <row r="80" spans="1:20" ht="15.75" thickBot="1" x14ac:dyDescent="0.3">
      <c r="A80" s="37" t="s">
        <v>87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9"/>
    </row>
    <row r="81" spans="1:20" ht="15.75" thickBot="1" x14ac:dyDescent="0.3">
      <c r="A81" s="13">
        <v>66</v>
      </c>
      <c r="B81" s="15" t="s">
        <v>88</v>
      </c>
      <c r="C81" s="24"/>
      <c r="D81" s="24"/>
      <c r="E81" s="24"/>
      <c r="F81" s="24"/>
      <c r="G81" s="24"/>
      <c r="H81" s="24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1:20" ht="15.75" thickBot="1" x14ac:dyDescent="0.3">
      <c r="A82" s="13">
        <v>67</v>
      </c>
      <c r="B82" s="15" t="s">
        <v>89</v>
      </c>
      <c r="C82" s="24"/>
      <c r="D82" s="24"/>
      <c r="E82" s="24"/>
      <c r="F82" s="24"/>
      <c r="G82" s="24"/>
      <c r="H82" s="24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</row>
    <row r="83" spans="1:20" ht="15.75" thickBot="1" x14ac:dyDescent="0.3">
      <c r="A83" s="13">
        <v>68</v>
      </c>
      <c r="B83" s="15" t="s">
        <v>90</v>
      </c>
      <c r="C83" s="24"/>
      <c r="D83" s="24"/>
      <c r="E83" s="24"/>
      <c r="F83" s="24"/>
      <c r="G83" s="24"/>
      <c r="H83" s="24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</row>
    <row r="84" spans="1:20" ht="15.75" thickBot="1" x14ac:dyDescent="0.3">
      <c r="A84" s="13">
        <v>69</v>
      </c>
      <c r="B84" s="15" t="s">
        <v>91</v>
      </c>
      <c r="C84" s="30"/>
      <c r="D84" s="30"/>
      <c r="E84" s="33"/>
      <c r="F84" s="33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 ht="15.75" thickBot="1" x14ac:dyDescent="0.3">
      <c r="A85" s="13">
        <v>70</v>
      </c>
      <c r="B85" s="15" t="s">
        <v>92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 ht="15.75" thickBot="1" x14ac:dyDescent="0.3">
      <c r="A86" s="13">
        <v>71</v>
      </c>
      <c r="B86" s="15" t="s">
        <v>93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 ht="15.75" thickBot="1" x14ac:dyDescent="0.3">
      <c r="A87" s="13">
        <v>72</v>
      </c>
      <c r="B87" s="15" t="s">
        <v>94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 ht="15.75" thickBot="1" x14ac:dyDescent="0.3">
      <c r="A88" s="13">
        <v>73</v>
      </c>
      <c r="B88" s="15" t="s">
        <v>95</v>
      </c>
      <c r="C88" s="30">
        <f>26+26+22+33+9+5+9+116</f>
        <v>246</v>
      </c>
      <c r="D88" s="30">
        <v>0</v>
      </c>
      <c r="E88" s="30">
        <f>104+9+5+9+100</f>
        <v>227</v>
      </c>
      <c r="F88" s="30">
        <f>81+7+3+4+59</f>
        <v>154</v>
      </c>
      <c r="G88" s="30">
        <f>4403+597+60+240+5650</f>
        <v>10950</v>
      </c>
      <c r="H88" s="30">
        <f>3545+597+60+20+4211</f>
        <v>8433</v>
      </c>
      <c r="I88" s="30">
        <v>0</v>
      </c>
      <c r="J88" s="30">
        <v>0</v>
      </c>
      <c r="K88" s="30">
        <v>0</v>
      </c>
      <c r="L88" s="30">
        <v>0</v>
      </c>
      <c r="M88" s="30">
        <f>46+2+3+2+31</f>
        <v>84</v>
      </c>
      <c r="N88" s="30">
        <f>5+15+6+14+2+3+1+23</f>
        <v>69</v>
      </c>
      <c r="O88" s="30">
        <f>938+42+60+40+947</f>
        <v>2027</v>
      </c>
      <c r="P88" s="30">
        <f>107+310+120+281+36+42+60+20+801</f>
        <v>1777</v>
      </c>
      <c r="Q88" s="30">
        <f>35+5+0+2+28</f>
        <v>70</v>
      </c>
      <c r="R88" s="30">
        <f>29+5+0+0+21</f>
        <v>55</v>
      </c>
      <c r="S88" s="30">
        <f>3465+555+0+200+4703</f>
        <v>8923</v>
      </c>
      <c r="T88" s="30">
        <f>2291+400+555+0+0+3410</f>
        <v>6656</v>
      </c>
    </row>
    <row r="89" spans="1:20" ht="15.75" thickBot="1" x14ac:dyDescent="0.3">
      <c r="A89" s="13">
        <v>74</v>
      </c>
      <c r="B89" s="15" t="s">
        <v>96</v>
      </c>
      <c r="C89" s="30">
        <f>11+2+3+3+14</f>
        <v>33</v>
      </c>
      <c r="D89" s="30"/>
      <c r="E89" s="30">
        <f>9+2+3+3+11</f>
        <v>28</v>
      </c>
      <c r="F89" s="30">
        <f>9+2+3+3+9</f>
        <v>26</v>
      </c>
      <c r="G89" s="30">
        <f>1101+770+21+210+226</f>
        <v>2328</v>
      </c>
      <c r="H89" s="30">
        <f>1101+21+110+226</f>
        <v>1458</v>
      </c>
      <c r="I89" s="30">
        <v>0</v>
      </c>
      <c r="J89" s="30">
        <v>0</v>
      </c>
      <c r="K89" s="30">
        <v>0</v>
      </c>
      <c r="L89" s="30">
        <v>0</v>
      </c>
      <c r="M89" s="30">
        <f>4+1+1+6</f>
        <v>12</v>
      </c>
      <c r="N89" s="30">
        <f>3+1+1+4</f>
        <v>9</v>
      </c>
      <c r="O89" s="30">
        <f>511+10+66</f>
        <v>587</v>
      </c>
      <c r="P89" s="30">
        <f>31+1+10+66</f>
        <v>108</v>
      </c>
      <c r="Q89" s="30">
        <f>7+2+2+3</f>
        <v>14</v>
      </c>
      <c r="R89" s="30">
        <f>6+2+1+4</f>
        <v>13</v>
      </c>
      <c r="S89" s="30">
        <f>1070+750+20+200+160</f>
        <v>2200</v>
      </c>
      <c r="T89" s="30">
        <f>1070+20+100+160</f>
        <v>1350</v>
      </c>
    </row>
    <row r="90" spans="1:20" ht="15.75" thickBot="1" x14ac:dyDescent="0.3">
      <c r="A90" s="13">
        <v>75</v>
      </c>
      <c r="B90" s="15" t="s">
        <v>97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 ht="15.75" thickBot="1" x14ac:dyDescent="0.3">
      <c r="A91" s="13">
        <v>76</v>
      </c>
      <c r="B91" s="15" t="s">
        <v>98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 ht="15.75" thickBot="1" x14ac:dyDescent="0.3">
      <c r="A92" s="13">
        <v>77</v>
      </c>
      <c r="B92" s="15" t="s">
        <v>73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 ht="15.75" thickBot="1" x14ac:dyDescent="0.3">
      <c r="A93" s="13">
        <v>78</v>
      </c>
      <c r="B93" s="15" t="s">
        <v>74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 ht="15.75" thickBot="1" x14ac:dyDescent="0.3">
      <c r="A94" s="13">
        <v>79</v>
      </c>
      <c r="B94" s="15" t="s">
        <v>99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 ht="24.75" thickBot="1" x14ac:dyDescent="0.3">
      <c r="A95" s="13">
        <v>80</v>
      </c>
      <c r="B95" s="15" t="s">
        <v>100</v>
      </c>
      <c r="C95" s="30">
        <f>11+13+9+1+2+15</f>
        <v>51</v>
      </c>
      <c r="D95" s="30">
        <f>11+13+9+1+2+15</f>
        <v>51</v>
      </c>
      <c r="E95" s="30">
        <f>7+11+11+1+2+13</f>
        <v>45</v>
      </c>
      <c r="F95" s="30">
        <f>7+11+11+1+1+11</f>
        <v>42</v>
      </c>
      <c r="G95" s="30">
        <f>150+201+557+463+50+50+525</f>
        <v>1996</v>
      </c>
      <c r="H95" s="30">
        <f>150+151+404+506+50+50+425</f>
        <v>1736</v>
      </c>
      <c r="I95" s="30">
        <v>0</v>
      </c>
      <c r="J95" s="30">
        <v>0</v>
      </c>
      <c r="K95" s="30">
        <v>0</v>
      </c>
      <c r="L95" s="30">
        <v>0</v>
      </c>
      <c r="M95" s="30">
        <f>2</f>
        <v>2</v>
      </c>
      <c r="N95" s="30">
        <v>0</v>
      </c>
      <c r="O95" s="30">
        <f>10</f>
        <v>10</v>
      </c>
      <c r="P95" s="30">
        <v>0</v>
      </c>
      <c r="Q95" s="30">
        <f>7+11+9+1+1+11</f>
        <v>40</v>
      </c>
      <c r="R95" s="30">
        <f>6+8+10+1+1+9</f>
        <v>35</v>
      </c>
      <c r="S95" s="30">
        <f>150+201+557+453+50+50+525</f>
        <v>1986</v>
      </c>
      <c r="T95" s="30">
        <f>150+151+404+506+50+50+425</f>
        <v>1736</v>
      </c>
    </row>
    <row r="96" spans="1:20" ht="15.75" thickBot="1" x14ac:dyDescent="0.3">
      <c r="A96" s="13">
        <v>81</v>
      </c>
      <c r="B96" s="15" t="s">
        <v>38</v>
      </c>
      <c r="C96" s="24"/>
      <c r="D96" s="24"/>
      <c r="E96" s="24"/>
      <c r="F96" s="24"/>
      <c r="G96" s="24"/>
      <c r="H96" s="24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</row>
    <row r="97" spans="1:20" ht="15.75" thickBot="1" x14ac:dyDescent="0.3">
      <c r="A97" s="13">
        <v>82</v>
      </c>
      <c r="B97" s="15" t="s">
        <v>39</v>
      </c>
      <c r="C97" s="30">
        <v>1</v>
      </c>
      <c r="D97" s="30">
        <v>1</v>
      </c>
      <c r="E97" s="24"/>
      <c r="F97" s="24"/>
      <c r="G97" s="24"/>
      <c r="H97" s="2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</row>
    <row r="98" spans="1:20" ht="15.75" thickBot="1" x14ac:dyDescent="0.3">
      <c r="A98" s="13">
        <v>83</v>
      </c>
      <c r="B98" s="15" t="s">
        <v>80</v>
      </c>
      <c r="C98" s="24"/>
      <c r="D98" s="24"/>
      <c r="E98" s="24"/>
      <c r="F98" s="24"/>
      <c r="G98" s="24"/>
      <c r="H98" s="24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</row>
    <row r="99" spans="1:20" ht="24.75" thickBot="1" x14ac:dyDescent="0.3">
      <c r="A99" s="13">
        <v>84</v>
      </c>
      <c r="B99" s="15" t="s">
        <v>101</v>
      </c>
      <c r="C99" s="24"/>
      <c r="D99" s="24"/>
      <c r="E99" s="24"/>
      <c r="F99" s="24"/>
      <c r="G99" s="24"/>
      <c r="H99" s="24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</row>
    <row r="100" spans="1:20" ht="24.75" thickBot="1" x14ac:dyDescent="0.3">
      <c r="A100" s="13">
        <v>85</v>
      </c>
      <c r="B100" s="15" t="s">
        <v>102</v>
      </c>
      <c r="C100" s="24"/>
      <c r="D100" s="24"/>
      <c r="E100" s="24"/>
      <c r="F100" s="24"/>
      <c r="G100" s="24"/>
      <c r="H100" s="24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</row>
    <row r="101" spans="1:20" ht="15.75" thickBot="1" x14ac:dyDescent="0.3">
      <c r="A101" s="16"/>
      <c r="B101" s="21" t="s">
        <v>86</v>
      </c>
      <c r="C101" s="18">
        <f>SUM(C81:C100)</f>
        <v>331</v>
      </c>
      <c r="D101" s="18">
        <f t="shared" ref="D101:T101" si="2">SUM(D81:D100)</f>
        <v>52</v>
      </c>
      <c r="E101" s="18">
        <f t="shared" si="2"/>
        <v>300</v>
      </c>
      <c r="F101" s="18">
        <f t="shared" si="2"/>
        <v>222</v>
      </c>
      <c r="G101" s="18">
        <f t="shared" si="2"/>
        <v>15274</v>
      </c>
      <c r="H101" s="18">
        <f t="shared" si="2"/>
        <v>11627</v>
      </c>
      <c r="I101" s="18">
        <f t="shared" si="2"/>
        <v>0</v>
      </c>
      <c r="J101" s="18">
        <f t="shared" si="2"/>
        <v>0</v>
      </c>
      <c r="K101" s="18">
        <f t="shared" si="2"/>
        <v>0</v>
      </c>
      <c r="L101" s="18">
        <f t="shared" si="2"/>
        <v>0</v>
      </c>
      <c r="M101" s="18">
        <f t="shared" si="2"/>
        <v>98</v>
      </c>
      <c r="N101" s="18">
        <f t="shared" si="2"/>
        <v>78</v>
      </c>
      <c r="O101" s="18">
        <f t="shared" si="2"/>
        <v>2624</v>
      </c>
      <c r="P101" s="18">
        <f t="shared" si="2"/>
        <v>1885</v>
      </c>
      <c r="Q101" s="18">
        <f t="shared" si="2"/>
        <v>124</v>
      </c>
      <c r="R101" s="18">
        <f t="shared" si="2"/>
        <v>103</v>
      </c>
      <c r="S101" s="18">
        <f t="shared" si="2"/>
        <v>13109</v>
      </c>
      <c r="T101" s="18">
        <f t="shared" si="2"/>
        <v>9742</v>
      </c>
    </row>
    <row r="102" spans="1:20" ht="36.75" thickBot="1" x14ac:dyDescent="0.3">
      <c r="A102" s="22"/>
      <c r="B102" s="23" t="s">
        <v>103</v>
      </c>
      <c r="C102" s="12">
        <f>SUM(C32,C79,C101)</f>
        <v>4462</v>
      </c>
      <c r="D102" s="12">
        <f t="shared" ref="D102:T102" si="3">SUM(D32,D79,D101)</f>
        <v>716</v>
      </c>
      <c r="E102" s="12">
        <f t="shared" si="3"/>
        <v>3836</v>
      </c>
      <c r="F102" s="12">
        <f t="shared" si="3"/>
        <v>3039</v>
      </c>
      <c r="G102" s="12">
        <f t="shared" si="3"/>
        <v>161974.1</v>
      </c>
      <c r="H102" s="12">
        <f t="shared" si="3"/>
        <v>72534.463000000003</v>
      </c>
      <c r="I102" s="12">
        <f t="shared" si="3"/>
        <v>3</v>
      </c>
      <c r="J102" s="12">
        <f t="shared" si="3"/>
        <v>3</v>
      </c>
      <c r="K102" s="12">
        <f t="shared" si="3"/>
        <v>5</v>
      </c>
      <c r="L102" s="12">
        <f t="shared" si="3"/>
        <v>3</v>
      </c>
      <c r="M102" s="12">
        <f t="shared" si="3"/>
        <v>1953</v>
      </c>
      <c r="N102" s="12">
        <f t="shared" si="3"/>
        <v>1460</v>
      </c>
      <c r="O102" s="12">
        <f t="shared" si="3"/>
        <v>23364.1</v>
      </c>
      <c r="P102" s="12">
        <f t="shared" si="3"/>
        <v>16028.600000000002</v>
      </c>
      <c r="Q102" s="12">
        <f t="shared" si="3"/>
        <v>1461</v>
      </c>
      <c r="R102" s="12">
        <f t="shared" si="3"/>
        <v>824</v>
      </c>
      <c r="S102" s="12">
        <f t="shared" si="3"/>
        <v>135037</v>
      </c>
      <c r="T102" s="12">
        <f t="shared" si="3"/>
        <v>56746.862999999998</v>
      </c>
    </row>
    <row r="103" spans="1:20" ht="15.6" x14ac:dyDescent="0.3">
      <c r="A103" s="27"/>
    </row>
    <row r="104" spans="1:20" ht="18.75" x14ac:dyDescent="0.25">
      <c r="A104" s="28"/>
      <c r="B104" s="26"/>
      <c r="C104" s="26"/>
      <c r="D104" s="26"/>
      <c r="E104" s="29"/>
      <c r="F104" s="26"/>
    </row>
    <row r="105" spans="1:20" ht="18.75" x14ac:dyDescent="0.25">
      <c r="A105" s="7" t="s">
        <v>104</v>
      </c>
    </row>
    <row r="106" spans="1:20" ht="15.6" x14ac:dyDescent="0.3">
      <c r="A106" s="6"/>
    </row>
    <row r="107" spans="1:20" ht="15.6" x14ac:dyDescent="0.3">
      <c r="A107" s="6"/>
    </row>
    <row r="108" spans="1:20" x14ac:dyDescent="0.25">
      <c r="A108" s="8" t="s">
        <v>105</v>
      </c>
    </row>
  </sheetData>
  <sheetProtection password="CC13" sheet="1" objects="1" scenarios="1" selectLockedCells="1"/>
  <mergeCells count="27">
    <mergeCell ref="S8:T8"/>
    <mergeCell ref="A6:A9"/>
    <mergeCell ref="C6:E6"/>
    <mergeCell ref="F6:F9"/>
    <mergeCell ref="G6:G9"/>
    <mergeCell ref="H6:H9"/>
    <mergeCell ref="I6:T6"/>
    <mergeCell ref="C7:C9"/>
    <mergeCell ref="D7:D9"/>
    <mergeCell ref="E7:E9"/>
    <mergeCell ref="I7:L7"/>
    <mergeCell ref="A11:T11"/>
    <mergeCell ref="A33:T33"/>
    <mergeCell ref="A80:T80"/>
    <mergeCell ref="A1:T1"/>
    <mergeCell ref="A2:T2"/>
    <mergeCell ref="A3:T3"/>
    <mergeCell ref="L4:N4"/>
    <mergeCell ref="F4:K4"/>
    <mergeCell ref="B7:B9"/>
    <mergeCell ref="M7:P7"/>
    <mergeCell ref="Q7:T7"/>
    <mergeCell ref="I8:J8"/>
    <mergeCell ref="K8:L8"/>
    <mergeCell ref="M8:N8"/>
    <mergeCell ref="O8:P8"/>
    <mergeCell ref="Q8:R8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Лист1!_Toc507508150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Сергей Васильевич</dc:creator>
  <cp:lastModifiedBy>Хорошевская Ирина Ивановна</cp:lastModifiedBy>
  <cp:lastPrinted>2019-01-14T11:01:11Z</cp:lastPrinted>
  <dcterms:created xsi:type="dcterms:W3CDTF">2018-03-14T06:35:38Z</dcterms:created>
  <dcterms:modified xsi:type="dcterms:W3CDTF">2020-06-08T07:21:35Z</dcterms:modified>
</cp:coreProperties>
</file>